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51e513aba58696/O^0G/Avalon Sales Package/Avalon Sales Package/"/>
    </mc:Choice>
  </mc:AlternateContent>
  <xr:revisionPtr revIDLastSave="0" documentId="8_{5659E68C-476C-411F-80CA-261BB1D9642F}" xr6:coauthVersionLast="44" xr6:coauthVersionMax="44" xr10:uidLastSave="{00000000-0000-0000-0000-000000000000}"/>
  <bookViews>
    <workbookView xWindow="-120" yWindow="-120" windowWidth="20730" windowHeight="11760" firstSheet="23" activeTab="25" xr2:uid="{8569704E-3F5D-4968-8C6E-88D22976418B}"/>
  </bookViews>
  <sheets>
    <sheet name="10001-30-009-07 W4" sheetId="1" r:id="rId1"/>
    <sheet name="10202-30-009-07 W4" sheetId="2" r:id="rId2"/>
    <sheet name="100 07-30-009-07 W4" sheetId="3" r:id="rId3"/>
    <sheet name="10005-30-009-07" sheetId="5" r:id="rId4"/>
    <sheet name="Facility" sheetId="6" r:id="rId5"/>
    <sheet name="100 12-31-009-07 W4" sheetId="7" r:id="rId6"/>
    <sheet name="102 14-31-009-07" sheetId="9" r:id="rId7"/>
    <sheet name="102 08-35-009-08" sheetId="11" r:id="rId8"/>
    <sheet name="100 05-36-009-08 W4" sheetId="12" r:id="rId9"/>
    <sheet name="102 06-36-009-08" sheetId="13" r:id="rId10"/>
    <sheet name="102 08-36-009-08" sheetId="14" r:id="rId11"/>
    <sheet name="100 10-36-009-08 W4" sheetId="15" r:id="rId12"/>
    <sheet name="100 12-36-009-08" sheetId="16" r:id="rId13"/>
    <sheet name="01-01-010-08 " sheetId="19" r:id="rId14"/>
    <sheet name="103 15-03-010-10" sheetId="20" r:id="rId15"/>
    <sheet name="100 10-07-012-14" sheetId="21" r:id="rId16"/>
    <sheet name="102 12-36-009-08" sheetId="17" r:id="rId17"/>
    <sheet name="100 &amp; 102 09-30-012-14 " sheetId="18" r:id="rId18"/>
    <sheet name="100 11-08-012-14" sheetId="22" r:id="rId19"/>
    <sheet name="100 06-23-017-22" sheetId="23" r:id="rId20"/>
    <sheet name="03-17-018-20" sheetId="24" r:id="rId21"/>
    <sheet name="06-18-018-20" sheetId="25" r:id="rId22"/>
    <sheet name="16-18-018-20" sheetId="26" r:id="rId23"/>
    <sheet name="12-22-018-20" sheetId="27" r:id="rId24"/>
    <sheet name="100 12-20-019-18" sheetId="28" r:id="rId25"/>
    <sheet name="OPEX Summary" sheetId="29" r:id="rId26"/>
    <sheet name="103 14-31-009-07" sheetId="10" r:id="rId27"/>
    <sheet name="102 12-31-009-07 W4" sheetId="8" r:id="rId28"/>
    <sheet name="100 12-30-009-07" sheetId="4" r:id="rId29"/>
  </sheets>
  <externalReferences>
    <externalReference r:id="rId30"/>
    <externalReference r:id="rId31"/>
    <externalReference r:id="rId3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29" l="1"/>
  <c r="F62" i="29"/>
  <c r="H62" i="29" s="1"/>
  <c r="B62" i="29"/>
  <c r="G61" i="29"/>
  <c r="F61" i="29"/>
  <c r="E61" i="29"/>
  <c r="D61" i="29"/>
  <c r="C61" i="29"/>
  <c r="B61" i="29"/>
  <c r="H61" i="29" s="1"/>
  <c r="G60" i="29"/>
  <c r="F60" i="29"/>
  <c r="E60" i="29"/>
  <c r="D60" i="29"/>
  <c r="C60" i="29"/>
  <c r="B60" i="29"/>
  <c r="H60" i="29" s="1"/>
  <c r="G59" i="29"/>
  <c r="F59" i="29"/>
  <c r="E59" i="29"/>
  <c r="D59" i="29"/>
  <c r="H59" i="29" s="1"/>
  <c r="C59" i="29"/>
  <c r="B59" i="29"/>
  <c r="G58" i="29"/>
  <c r="H58" i="29" s="1"/>
  <c r="G57" i="29"/>
  <c r="F57" i="29"/>
  <c r="E57" i="29"/>
  <c r="D57" i="29"/>
  <c r="B57" i="29"/>
  <c r="H57" i="29" s="1"/>
  <c r="G56" i="29"/>
  <c r="F56" i="29"/>
  <c r="E56" i="29"/>
  <c r="C56" i="29"/>
  <c r="B56" i="29"/>
  <c r="H56" i="29" s="1"/>
  <c r="G55" i="29"/>
  <c r="F55" i="29"/>
  <c r="E55" i="29"/>
  <c r="B55" i="29"/>
  <c r="H55" i="29" s="1"/>
  <c r="G54" i="29"/>
  <c r="F54" i="29"/>
  <c r="E54" i="29"/>
  <c r="D54" i="29"/>
  <c r="B54" i="29"/>
  <c r="H54" i="29" s="1"/>
  <c r="F53" i="29"/>
  <c r="E53" i="29"/>
  <c r="D53" i="29"/>
  <c r="C53" i="29"/>
  <c r="H53" i="29" s="1"/>
  <c r="B53" i="29"/>
  <c r="G52" i="29"/>
  <c r="F52" i="29"/>
  <c r="E52" i="29"/>
  <c r="D52" i="29"/>
  <c r="C52" i="29"/>
  <c r="B52" i="29"/>
  <c r="H52" i="29" s="1"/>
  <c r="G51" i="29"/>
  <c r="F51" i="29"/>
  <c r="E51" i="29"/>
  <c r="D51" i="29"/>
  <c r="C51" i="29"/>
  <c r="B51" i="29"/>
  <c r="H51" i="29" s="1"/>
  <c r="G50" i="29"/>
  <c r="F50" i="29"/>
  <c r="E50" i="29"/>
  <c r="D50" i="29"/>
  <c r="H50" i="29" s="1"/>
  <c r="C50" i="29"/>
  <c r="B50" i="29"/>
  <c r="F49" i="29"/>
  <c r="H49" i="29" s="1"/>
  <c r="D49" i="29"/>
  <c r="C49" i="29"/>
  <c r="G48" i="29"/>
  <c r="E48" i="29"/>
  <c r="C48" i="29"/>
  <c r="G47" i="29"/>
  <c r="D47" i="29"/>
  <c r="H47" i="29" s="1"/>
  <c r="D46" i="29"/>
  <c r="C46" i="29"/>
  <c r="B46" i="29"/>
  <c r="B48" i="29" s="1"/>
  <c r="G45" i="29"/>
  <c r="F45" i="29"/>
  <c r="F48" i="29" s="1"/>
  <c r="D45" i="29"/>
  <c r="H45" i="29" s="1"/>
  <c r="H44" i="29"/>
  <c r="F43" i="29"/>
  <c r="B43" i="29"/>
  <c r="H43" i="29" s="1"/>
  <c r="G42" i="29"/>
  <c r="F42" i="29"/>
  <c r="E42" i="29"/>
  <c r="D42" i="29"/>
  <c r="C42" i="29"/>
  <c r="B42" i="29"/>
  <c r="H42" i="29" s="1"/>
  <c r="G41" i="29"/>
  <c r="F41" i="29"/>
  <c r="E41" i="29"/>
  <c r="D41" i="29"/>
  <c r="H41" i="29" s="1"/>
  <c r="C41" i="29"/>
  <c r="B41" i="29"/>
  <c r="G40" i="29"/>
  <c r="F40" i="29"/>
  <c r="E40" i="29"/>
  <c r="D40" i="29"/>
  <c r="C40" i="29"/>
  <c r="H40" i="29" s="1"/>
  <c r="B40" i="29"/>
  <c r="G39" i="29"/>
  <c r="F39" i="29"/>
  <c r="E39" i="29"/>
  <c r="D39" i="29"/>
  <c r="C39" i="29"/>
  <c r="B39" i="29"/>
  <c r="H39" i="29" s="1"/>
  <c r="G38" i="29"/>
  <c r="F38" i="29"/>
  <c r="E38" i="29"/>
  <c r="D38" i="29"/>
  <c r="C38" i="29"/>
  <c r="B38" i="29"/>
  <c r="H38" i="29" s="1"/>
  <c r="H37" i="29"/>
  <c r="C37" i="29"/>
  <c r="B37" i="29"/>
  <c r="G36" i="29"/>
  <c r="G63" i="29" s="1"/>
  <c r="G64" i="29" s="1"/>
  <c r="F36" i="29"/>
  <c r="E36" i="29"/>
  <c r="D36" i="29"/>
  <c r="C36" i="29"/>
  <c r="H36" i="29" s="1"/>
  <c r="B36" i="29"/>
  <c r="G35" i="29"/>
  <c r="F35" i="29"/>
  <c r="F63" i="29" s="1"/>
  <c r="F64" i="29" s="1"/>
  <c r="E35" i="29"/>
  <c r="E63" i="29" s="1"/>
  <c r="E64" i="29" s="1"/>
  <c r="D35" i="29"/>
  <c r="C35" i="29"/>
  <c r="B35" i="29"/>
  <c r="G25" i="29"/>
  <c r="C25" i="29"/>
  <c r="G22" i="29"/>
  <c r="F22" i="29"/>
  <c r="E22" i="29"/>
  <c r="D22" i="29"/>
  <c r="C22" i="29"/>
  <c r="B22" i="29"/>
  <c r="H22" i="29" s="1"/>
  <c r="G21" i="29"/>
  <c r="F21" i="29"/>
  <c r="F25" i="29" s="1"/>
  <c r="E21" i="29"/>
  <c r="E25" i="29" s="1"/>
  <c r="D21" i="29"/>
  <c r="C21" i="29"/>
  <c r="B21" i="29"/>
  <c r="B25" i="29" s="1"/>
  <c r="H20" i="29"/>
  <c r="D20" i="29"/>
  <c r="D19" i="29"/>
  <c r="H19" i="29" s="1"/>
  <c r="H18" i="29"/>
  <c r="D13" i="29"/>
  <c r="D17" i="29" s="1"/>
  <c r="G12" i="29"/>
  <c r="F12" i="29"/>
  <c r="E12" i="29"/>
  <c r="D12" i="29"/>
  <c r="C12" i="29"/>
  <c r="H12" i="29" s="1"/>
  <c r="B12" i="29"/>
  <c r="G11" i="29"/>
  <c r="F11" i="29"/>
  <c r="E11" i="29"/>
  <c r="D11" i="29"/>
  <c r="C11" i="29"/>
  <c r="B11" i="29"/>
  <c r="H11" i="29" s="1"/>
  <c r="G10" i="29"/>
  <c r="G13" i="29" s="1"/>
  <c r="G17" i="29" s="1"/>
  <c r="G26" i="29" s="1"/>
  <c r="G27" i="29" s="1"/>
  <c r="F10" i="29"/>
  <c r="F13" i="29" s="1"/>
  <c r="F17" i="29" s="1"/>
  <c r="E10" i="29"/>
  <c r="E13" i="29" s="1"/>
  <c r="E17" i="29" s="1"/>
  <c r="E26" i="29" s="1"/>
  <c r="E27" i="29" s="1"/>
  <c r="E65" i="29" s="1"/>
  <c r="C10" i="29"/>
  <c r="C13" i="29" s="1"/>
  <c r="C17" i="29" s="1"/>
  <c r="C26" i="29" s="1"/>
  <c r="C27" i="29" s="1"/>
  <c r="B10" i="29"/>
  <c r="H10" i="29" s="1"/>
  <c r="H9" i="29"/>
  <c r="H8" i="29"/>
  <c r="H7" i="29"/>
  <c r="F26" i="29" l="1"/>
  <c r="F27" i="29" s="1"/>
  <c r="F65" i="29" s="1"/>
  <c r="H48" i="29"/>
  <c r="G65" i="29"/>
  <c r="B63" i="29"/>
  <c r="C65" i="29"/>
  <c r="D26" i="29"/>
  <c r="D27" i="29" s="1"/>
  <c r="C63" i="29"/>
  <c r="C64" i="29" s="1"/>
  <c r="D25" i="29"/>
  <c r="H25" i="29" s="1"/>
  <c r="D48" i="29"/>
  <c r="D63" i="29" s="1"/>
  <c r="D64" i="29" s="1"/>
  <c r="H35" i="29"/>
  <c r="B13" i="29"/>
  <c r="H21" i="29"/>
  <c r="H46" i="29"/>
  <c r="B64" i="29" l="1"/>
  <c r="H64" i="29" s="1"/>
  <c r="H63" i="29"/>
  <c r="D65" i="29"/>
  <c r="H13" i="29"/>
  <c r="B17" i="29"/>
  <c r="H17" i="29" l="1"/>
  <c r="B26" i="29"/>
  <c r="H26" i="29" l="1"/>
  <c r="B27" i="29"/>
  <c r="H27" i="29" l="1"/>
  <c r="B65" i="29"/>
  <c r="H65" i="29" s="1"/>
  <c r="C12" i="28" l="1"/>
  <c r="C13" i="28" s="1"/>
  <c r="C14" i="28" s="1"/>
  <c r="B12" i="28"/>
  <c r="B13" i="28" s="1"/>
  <c r="G11" i="28"/>
  <c r="F11" i="28"/>
  <c r="H11" i="28" s="1"/>
  <c r="H10" i="28"/>
  <c r="E10" i="28"/>
  <c r="E12" i="28" s="1"/>
  <c r="E13" i="28" s="1"/>
  <c r="E14" i="28" s="1"/>
  <c r="G9" i="28"/>
  <c r="G12" i="28" s="1"/>
  <c r="G13" i="28" s="1"/>
  <c r="G14" i="28" s="1"/>
  <c r="F9" i="28"/>
  <c r="F12" i="28" s="1"/>
  <c r="F13" i="28" s="1"/>
  <c r="F14" i="28" s="1"/>
  <c r="F8" i="28"/>
  <c r="D8" i="28"/>
  <c r="H8" i="28" s="1"/>
  <c r="H7" i="28"/>
  <c r="G12" i="27"/>
  <c r="G13" i="27" s="1"/>
  <c r="G14" i="27" s="1"/>
  <c r="C12" i="27"/>
  <c r="C13" i="27" s="1"/>
  <c r="C14" i="27" s="1"/>
  <c r="F11" i="27"/>
  <c r="H11" i="27" s="1"/>
  <c r="G10" i="27"/>
  <c r="F10" i="27"/>
  <c r="F12" i="27" s="1"/>
  <c r="F13" i="27" s="1"/>
  <c r="F14" i="27" s="1"/>
  <c r="E10" i="27"/>
  <c r="E12" i="27" s="1"/>
  <c r="E13" i="27" s="1"/>
  <c r="E14" i="27" s="1"/>
  <c r="C10" i="27"/>
  <c r="B10" i="27"/>
  <c r="B12" i="27" s="1"/>
  <c r="D9" i="27"/>
  <c r="D10" i="27" s="1"/>
  <c r="H8" i="27"/>
  <c r="H7" i="27"/>
  <c r="G33" i="26"/>
  <c r="G34" i="26" s="1"/>
  <c r="G32" i="26"/>
  <c r="H32" i="26" s="1"/>
  <c r="E31" i="26"/>
  <c r="D31" i="26"/>
  <c r="C31" i="26"/>
  <c r="B31" i="26"/>
  <c r="H31" i="26" s="1"/>
  <c r="E30" i="26"/>
  <c r="D30" i="26"/>
  <c r="C30" i="26"/>
  <c r="C33" i="26" s="1"/>
  <c r="C34" i="26" s="1"/>
  <c r="B30" i="26"/>
  <c r="H30" i="26" s="1"/>
  <c r="G29" i="26"/>
  <c r="B29" i="26"/>
  <c r="H29" i="26" s="1"/>
  <c r="B28" i="26"/>
  <c r="H28" i="26" s="1"/>
  <c r="E27" i="26"/>
  <c r="H27" i="26" s="1"/>
  <c r="D27" i="26"/>
  <c r="C27" i="26"/>
  <c r="B27" i="26"/>
  <c r="H26" i="26"/>
  <c r="B26" i="26"/>
  <c r="F25" i="26"/>
  <c r="D25" i="26"/>
  <c r="H25" i="26" s="1"/>
  <c r="C25" i="26"/>
  <c r="G24" i="26"/>
  <c r="F24" i="26"/>
  <c r="E24" i="26"/>
  <c r="C24" i="26"/>
  <c r="D23" i="26"/>
  <c r="H23" i="26" s="1"/>
  <c r="B22" i="26"/>
  <c r="H22" i="26" s="1"/>
  <c r="D21" i="26"/>
  <c r="H21" i="26" s="1"/>
  <c r="H20" i="26"/>
  <c r="G19" i="26"/>
  <c r="F19" i="26"/>
  <c r="F33" i="26" s="1"/>
  <c r="F34" i="26" s="1"/>
  <c r="E19" i="26"/>
  <c r="E33" i="26" s="1"/>
  <c r="E34" i="26" s="1"/>
  <c r="D19" i="26"/>
  <c r="H19" i="26" s="1"/>
  <c r="C19" i="26"/>
  <c r="B19" i="26"/>
  <c r="H18" i="26"/>
  <c r="G15" i="26"/>
  <c r="G16" i="26" s="1"/>
  <c r="G35" i="26" s="1"/>
  <c r="C15" i="26"/>
  <c r="C16" i="26" s="1"/>
  <c r="C35" i="26" s="1"/>
  <c r="G14" i="26"/>
  <c r="F14" i="26"/>
  <c r="D14" i="26"/>
  <c r="C14" i="26"/>
  <c r="B14" i="26"/>
  <c r="H14" i="26" s="1"/>
  <c r="G13" i="26"/>
  <c r="F13" i="26"/>
  <c r="E13" i="26"/>
  <c r="E14" i="26" s="1"/>
  <c r="D13" i="26"/>
  <c r="C13" i="26"/>
  <c r="B13" i="26"/>
  <c r="H13" i="26" s="1"/>
  <c r="H12" i="26"/>
  <c r="G11" i="26"/>
  <c r="F11" i="26"/>
  <c r="F15" i="26" s="1"/>
  <c r="F16" i="26" s="1"/>
  <c r="E11" i="26"/>
  <c r="C11" i="26"/>
  <c r="B11" i="26"/>
  <c r="B15" i="26" s="1"/>
  <c r="G10" i="26"/>
  <c r="F10" i="26"/>
  <c r="E10" i="26"/>
  <c r="C10" i="26"/>
  <c r="B10" i="26"/>
  <c r="D9" i="26"/>
  <c r="D10" i="26" s="1"/>
  <c r="B9" i="26"/>
  <c r="H8" i="26"/>
  <c r="H7" i="26"/>
  <c r="G40" i="25"/>
  <c r="F40" i="25"/>
  <c r="E40" i="25"/>
  <c r="D40" i="25"/>
  <c r="C40" i="25"/>
  <c r="B40" i="25"/>
  <c r="H40" i="25" s="1"/>
  <c r="G39" i="25"/>
  <c r="F39" i="25"/>
  <c r="E39" i="25"/>
  <c r="D39" i="25"/>
  <c r="C39" i="25"/>
  <c r="B39" i="25"/>
  <c r="H39" i="25" s="1"/>
  <c r="G38" i="25"/>
  <c r="E38" i="25"/>
  <c r="C38" i="25"/>
  <c r="B38" i="25"/>
  <c r="H38" i="25" s="1"/>
  <c r="F37" i="25"/>
  <c r="E37" i="25"/>
  <c r="D37" i="25"/>
  <c r="C37" i="25"/>
  <c r="B37" i="25"/>
  <c r="H37" i="25" s="1"/>
  <c r="G36" i="25"/>
  <c r="F36" i="25"/>
  <c r="E36" i="25"/>
  <c r="D36" i="25"/>
  <c r="C36" i="25"/>
  <c r="H36" i="25" s="1"/>
  <c r="B36" i="25"/>
  <c r="G35" i="25"/>
  <c r="F35" i="25"/>
  <c r="E35" i="25"/>
  <c r="D35" i="25"/>
  <c r="C35" i="25"/>
  <c r="B35" i="25"/>
  <c r="H35" i="25" s="1"/>
  <c r="F34" i="25"/>
  <c r="D34" i="25"/>
  <c r="H34" i="25" s="1"/>
  <c r="G33" i="25"/>
  <c r="F33" i="25"/>
  <c r="E33" i="25"/>
  <c r="C33" i="25"/>
  <c r="B33" i="25"/>
  <c r="D32" i="25"/>
  <c r="H32" i="25" s="1"/>
  <c r="H31" i="25"/>
  <c r="F30" i="25"/>
  <c r="H30" i="25" s="1"/>
  <c r="H29" i="25"/>
  <c r="G29" i="25"/>
  <c r="B29" i="25"/>
  <c r="G28" i="25"/>
  <c r="G41" i="25" s="1"/>
  <c r="G42" i="25" s="1"/>
  <c r="F28" i="25"/>
  <c r="E28" i="25"/>
  <c r="E41" i="25" s="1"/>
  <c r="E42" i="25" s="1"/>
  <c r="D28" i="25"/>
  <c r="C28" i="25"/>
  <c r="H28" i="25" s="1"/>
  <c r="B28" i="25"/>
  <c r="G27" i="25"/>
  <c r="F27" i="25"/>
  <c r="F41" i="25" s="1"/>
  <c r="F42" i="25" s="1"/>
  <c r="E27" i="25"/>
  <c r="D27" i="25"/>
  <c r="C27" i="25"/>
  <c r="B27" i="25"/>
  <c r="H27" i="25" s="1"/>
  <c r="C26" i="25"/>
  <c r="B26" i="25"/>
  <c r="B41" i="25" s="1"/>
  <c r="H25" i="25"/>
  <c r="D25" i="25"/>
  <c r="D24" i="25"/>
  <c r="H24" i="25" s="1"/>
  <c r="G20" i="25"/>
  <c r="F20" i="25"/>
  <c r="C20" i="25"/>
  <c r="B20" i="25"/>
  <c r="G19" i="25"/>
  <c r="F19" i="25"/>
  <c r="E19" i="25"/>
  <c r="D19" i="25"/>
  <c r="C19" i="25"/>
  <c r="B19" i="25"/>
  <c r="H19" i="25" s="1"/>
  <c r="G18" i="25"/>
  <c r="F18" i="25"/>
  <c r="E18" i="25"/>
  <c r="E20" i="25" s="1"/>
  <c r="D18" i="25"/>
  <c r="H18" i="25" s="1"/>
  <c r="C18" i="25"/>
  <c r="B18" i="25"/>
  <c r="D17" i="25"/>
  <c r="H17" i="25" s="1"/>
  <c r="D16" i="25"/>
  <c r="H16" i="25" s="1"/>
  <c r="H15" i="25"/>
  <c r="C13" i="25"/>
  <c r="C14" i="25" s="1"/>
  <c r="C21" i="25" s="1"/>
  <c r="C22" i="25" s="1"/>
  <c r="G12" i="25"/>
  <c r="F12" i="25"/>
  <c r="E12" i="25"/>
  <c r="D12" i="25"/>
  <c r="B12" i="25"/>
  <c r="H12" i="25" s="1"/>
  <c r="G11" i="25"/>
  <c r="F11" i="25"/>
  <c r="E11" i="25"/>
  <c r="D11" i="25"/>
  <c r="D13" i="25" s="1"/>
  <c r="D14" i="25" s="1"/>
  <c r="C11" i="25"/>
  <c r="B11" i="25"/>
  <c r="G10" i="25"/>
  <c r="G13" i="25" s="1"/>
  <c r="G14" i="25" s="1"/>
  <c r="G21" i="25" s="1"/>
  <c r="G22" i="25" s="1"/>
  <c r="G43" i="25" s="1"/>
  <c r="F10" i="25"/>
  <c r="F13" i="25" s="1"/>
  <c r="F14" i="25" s="1"/>
  <c r="F21" i="25" s="1"/>
  <c r="F22" i="25" s="1"/>
  <c r="F43" i="25" s="1"/>
  <c r="E10" i="25"/>
  <c r="E13" i="25" s="1"/>
  <c r="E14" i="25" s="1"/>
  <c r="C10" i="25"/>
  <c r="B10" i="25"/>
  <c r="B13" i="25" s="1"/>
  <c r="H9" i="25"/>
  <c r="D8" i="25"/>
  <c r="H8" i="25" s="1"/>
  <c r="H7" i="25"/>
  <c r="G13" i="24"/>
  <c r="G14" i="24" s="1"/>
  <c r="G15" i="24" s="1"/>
  <c r="F13" i="24"/>
  <c r="F14" i="24" s="1"/>
  <c r="F15" i="24" s="1"/>
  <c r="C13" i="24"/>
  <c r="C14" i="24" s="1"/>
  <c r="C15" i="24" s="1"/>
  <c r="F12" i="24"/>
  <c r="H12" i="24" s="1"/>
  <c r="G11" i="24"/>
  <c r="F11" i="24"/>
  <c r="E11" i="24"/>
  <c r="E13" i="24" s="1"/>
  <c r="E14" i="24" s="1"/>
  <c r="E15" i="24" s="1"/>
  <c r="C11" i="24"/>
  <c r="D10" i="24"/>
  <c r="D11" i="24" s="1"/>
  <c r="D13" i="24" s="1"/>
  <c r="D14" i="24" s="1"/>
  <c r="D15" i="24" s="1"/>
  <c r="H9" i="24"/>
  <c r="B9" i="24"/>
  <c r="B11" i="24" s="1"/>
  <c r="H8" i="24"/>
  <c r="H7" i="24"/>
  <c r="E18" i="23"/>
  <c r="E17" i="23"/>
  <c r="D17" i="23"/>
  <c r="D18" i="23" s="1"/>
  <c r="B17" i="23"/>
  <c r="G15" i="23"/>
  <c r="H15" i="23" s="1"/>
  <c r="H14" i="23"/>
  <c r="G14" i="23"/>
  <c r="G13" i="23"/>
  <c r="F13" i="23"/>
  <c r="H13" i="23" s="1"/>
  <c r="F12" i="23"/>
  <c r="H12" i="23" s="1"/>
  <c r="G11" i="23"/>
  <c r="G17" i="23" s="1"/>
  <c r="G18" i="23" s="1"/>
  <c r="F11" i="23"/>
  <c r="F16" i="23" s="1"/>
  <c r="E11" i="23"/>
  <c r="E16" i="23" s="1"/>
  <c r="D11" i="23"/>
  <c r="D16" i="23" s="1"/>
  <c r="C11" i="23"/>
  <c r="C17" i="23" s="1"/>
  <c r="B11" i="23"/>
  <c r="B16" i="23" s="1"/>
  <c r="G10" i="23"/>
  <c r="H10" i="23" s="1"/>
  <c r="H9" i="23"/>
  <c r="D9" i="23"/>
  <c r="H8" i="23"/>
  <c r="H7" i="23"/>
  <c r="G11" i="22"/>
  <c r="G12" i="22" s="1"/>
  <c r="G13" i="22" s="1"/>
  <c r="C11" i="22"/>
  <c r="C12" i="22" s="1"/>
  <c r="C13" i="22" s="1"/>
  <c r="G10" i="22"/>
  <c r="F10" i="22"/>
  <c r="F11" i="22" s="1"/>
  <c r="F12" i="22" s="1"/>
  <c r="F13" i="22" s="1"/>
  <c r="E10" i="22"/>
  <c r="E11" i="22" s="1"/>
  <c r="E12" i="22" s="1"/>
  <c r="E13" i="22" s="1"/>
  <c r="D10" i="22"/>
  <c r="D11" i="22" s="1"/>
  <c r="D12" i="22" s="1"/>
  <c r="D13" i="22" s="1"/>
  <c r="C10" i="22"/>
  <c r="B10" i="22"/>
  <c r="B11" i="22" s="1"/>
  <c r="H9" i="22"/>
  <c r="F9" i="22"/>
  <c r="H8" i="22"/>
  <c r="H7" i="22"/>
  <c r="O59" i="18"/>
  <c r="H58" i="18"/>
  <c r="D58" i="18"/>
  <c r="H49" i="18"/>
  <c r="G49" i="18"/>
  <c r="F49" i="18"/>
  <c r="E49" i="18"/>
  <c r="D49" i="18"/>
  <c r="C49" i="18"/>
  <c r="O49" i="18" s="1"/>
  <c r="O47" i="18"/>
  <c r="H45" i="18"/>
  <c r="D45" i="18"/>
  <c r="L40" i="18"/>
  <c r="L41" i="18" s="1"/>
  <c r="K40" i="18"/>
  <c r="K41" i="18" s="1"/>
  <c r="H39" i="18"/>
  <c r="G39" i="18"/>
  <c r="F39" i="18"/>
  <c r="E39" i="18"/>
  <c r="D39" i="18"/>
  <c r="C39" i="18"/>
  <c r="O39" i="18" s="1"/>
  <c r="H38" i="18"/>
  <c r="G38" i="18"/>
  <c r="F38" i="18"/>
  <c r="E38" i="18"/>
  <c r="O38" i="18" s="1"/>
  <c r="D38" i="18"/>
  <c r="C38" i="18"/>
  <c r="H37" i="18"/>
  <c r="G37" i="18"/>
  <c r="F37" i="18"/>
  <c r="E37" i="18"/>
  <c r="D37" i="18"/>
  <c r="O37" i="18" s="1"/>
  <c r="C37" i="18"/>
  <c r="H36" i="18"/>
  <c r="G36" i="18"/>
  <c r="F36" i="18"/>
  <c r="E36" i="18"/>
  <c r="D36" i="18"/>
  <c r="C36" i="18"/>
  <c r="O36" i="18" s="1"/>
  <c r="H35" i="18"/>
  <c r="G35" i="18"/>
  <c r="F35" i="18"/>
  <c r="E35" i="18"/>
  <c r="D35" i="18"/>
  <c r="C35" i="18"/>
  <c r="O35" i="18" s="1"/>
  <c r="H34" i="18"/>
  <c r="G34" i="18"/>
  <c r="F34" i="18"/>
  <c r="E34" i="18"/>
  <c r="O34" i="18" s="1"/>
  <c r="D34" i="18"/>
  <c r="C34" i="18"/>
  <c r="H33" i="18"/>
  <c r="G33" i="18"/>
  <c r="F33" i="18"/>
  <c r="E33" i="18"/>
  <c r="D33" i="18"/>
  <c r="O33" i="18" s="1"/>
  <c r="C33" i="18"/>
  <c r="H32" i="18"/>
  <c r="G32" i="18"/>
  <c r="F32" i="18"/>
  <c r="E32" i="18"/>
  <c r="D32" i="18"/>
  <c r="C32" i="18"/>
  <c r="O32" i="18" s="1"/>
  <c r="H31" i="18"/>
  <c r="G31" i="18"/>
  <c r="F31" i="18"/>
  <c r="E31" i="18"/>
  <c r="D31" i="18"/>
  <c r="C31" i="18"/>
  <c r="O31" i="18" s="1"/>
  <c r="H30" i="18"/>
  <c r="G30" i="18"/>
  <c r="F30" i="18"/>
  <c r="E30" i="18"/>
  <c r="O30" i="18" s="1"/>
  <c r="D30" i="18"/>
  <c r="C30" i="18"/>
  <c r="H29" i="18"/>
  <c r="G29" i="18"/>
  <c r="F29" i="18"/>
  <c r="E29" i="18"/>
  <c r="D29" i="18"/>
  <c r="O29" i="18" s="1"/>
  <c r="C29" i="18"/>
  <c r="N28" i="18"/>
  <c r="N40" i="18" s="1"/>
  <c r="N41" i="18" s="1"/>
  <c r="M28" i="18"/>
  <c r="M40" i="18" s="1"/>
  <c r="M41" i="18" s="1"/>
  <c r="L28" i="18"/>
  <c r="K28" i="18"/>
  <c r="J28" i="18"/>
  <c r="J40" i="18" s="1"/>
  <c r="J41" i="18" s="1"/>
  <c r="I28" i="18"/>
  <c r="I40" i="18" s="1"/>
  <c r="I41" i="18" s="1"/>
  <c r="F28" i="18"/>
  <c r="E28" i="18"/>
  <c r="H27" i="18"/>
  <c r="G27" i="18"/>
  <c r="F27" i="18"/>
  <c r="E27" i="18"/>
  <c r="D27" i="18"/>
  <c r="O27" i="18" s="1"/>
  <c r="C27" i="18"/>
  <c r="H26" i="18"/>
  <c r="H28" i="18" s="1"/>
  <c r="G26" i="18"/>
  <c r="G28" i="18" s="1"/>
  <c r="F26" i="18"/>
  <c r="E26" i="18"/>
  <c r="D26" i="18"/>
  <c r="D28" i="18" s="1"/>
  <c r="C26" i="18"/>
  <c r="C28" i="18" s="1"/>
  <c r="O28" i="18" s="1"/>
  <c r="H25" i="18"/>
  <c r="G25" i="18"/>
  <c r="F25" i="18"/>
  <c r="E25" i="18"/>
  <c r="D25" i="18"/>
  <c r="C25" i="18"/>
  <c r="H24" i="18"/>
  <c r="G24" i="18"/>
  <c r="F24" i="18"/>
  <c r="E24" i="18"/>
  <c r="D24" i="18"/>
  <c r="O24" i="18" s="1"/>
  <c r="C24" i="18"/>
  <c r="H23" i="18"/>
  <c r="G23" i="18"/>
  <c r="F23" i="18"/>
  <c r="E23" i="18"/>
  <c r="D23" i="18"/>
  <c r="C23" i="18"/>
  <c r="O23" i="18" s="1"/>
  <c r="H22" i="18"/>
  <c r="G22" i="18"/>
  <c r="F22" i="18"/>
  <c r="E22" i="18"/>
  <c r="D22" i="18"/>
  <c r="C22" i="18"/>
  <c r="O22" i="18" s="1"/>
  <c r="H21" i="18"/>
  <c r="G21" i="18"/>
  <c r="F21" i="18"/>
  <c r="E21" i="18"/>
  <c r="O21" i="18" s="1"/>
  <c r="D21" i="18"/>
  <c r="C21" i="18"/>
  <c r="H20" i="18"/>
  <c r="H40" i="18" s="1"/>
  <c r="G20" i="18"/>
  <c r="F20" i="18"/>
  <c r="F40" i="18" s="1"/>
  <c r="E20" i="18"/>
  <c r="E40" i="18" s="1"/>
  <c r="D20" i="18"/>
  <c r="O20" i="18" s="1"/>
  <c r="C20" i="18"/>
  <c r="N16" i="18"/>
  <c r="N17" i="18" s="1"/>
  <c r="N42" i="18" s="1"/>
  <c r="J16" i="18"/>
  <c r="J17" i="18" s="1"/>
  <c r="J42" i="18" s="1"/>
  <c r="N15" i="18"/>
  <c r="M15" i="18"/>
  <c r="L15" i="18"/>
  <c r="K15" i="18"/>
  <c r="J15" i="18"/>
  <c r="I15" i="18"/>
  <c r="H15" i="18"/>
  <c r="G15" i="18"/>
  <c r="E15" i="18"/>
  <c r="D15" i="18"/>
  <c r="C15" i="18"/>
  <c r="H14" i="18"/>
  <c r="H52" i="18" s="1"/>
  <c r="G14" i="18"/>
  <c r="G58" i="18" s="1"/>
  <c r="F14" i="18"/>
  <c r="F15" i="18" s="1"/>
  <c r="E14" i="18"/>
  <c r="E52" i="18" s="1"/>
  <c r="D14" i="18"/>
  <c r="D52" i="18" s="1"/>
  <c r="C14" i="18"/>
  <c r="C58" i="18" s="1"/>
  <c r="N12" i="18"/>
  <c r="M12" i="18"/>
  <c r="M16" i="18" s="1"/>
  <c r="M17" i="18" s="1"/>
  <c r="M42" i="18" s="1"/>
  <c r="L12" i="18"/>
  <c r="L16" i="18" s="1"/>
  <c r="L17" i="18" s="1"/>
  <c r="L42" i="18" s="1"/>
  <c r="K12" i="18"/>
  <c r="K16" i="18" s="1"/>
  <c r="K17" i="18" s="1"/>
  <c r="K42" i="18" s="1"/>
  <c r="J12" i="18"/>
  <c r="I12" i="18"/>
  <c r="I16" i="18" s="1"/>
  <c r="I17" i="18" s="1"/>
  <c r="I42" i="18" s="1"/>
  <c r="N11" i="18"/>
  <c r="M11" i="18"/>
  <c r="L11" i="18"/>
  <c r="K11" i="18"/>
  <c r="J11" i="18"/>
  <c r="I11" i="18"/>
  <c r="H11" i="18"/>
  <c r="F11" i="18"/>
  <c r="E11" i="18"/>
  <c r="D11" i="18"/>
  <c r="H10" i="18"/>
  <c r="H12" i="18" s="1"/>
  <c r="G10" i="18"/>
  <c r="G45" i="18" s="1"/>
  <c r="F10" i="18"/>
  <c r="F12" i="18" s="1"/>
  <c r="E10" i="18"/>
  <c r="E12" i="18" s="1"/>
  <c r="D10" i="18"/>
  <c r="D12" i="18" s="1"/>
  <c r="C10" i="18"/>
  <c r="C45" i="18" s="1"/>
  <c r="O8" i="18"/>
  <c r="B14" i="28" l="1"/>
  <c r="H9" i="28"/>
  <c r="D12" i="28"/>
  <c r="D13" i="28" s="1"/>
  <c r="D14" i="28" s="1"/>
  <c r="B13" i="27"/>
  <c r="D12" i="27"/>
  <c r="D13" i="27" s="1"/>
  <c r="D14" i="27" s="1"/>
  <c r="H10" i="27"/>
  <c r="H9" i="27"/>
  <c r="B16" i="26"/>
  <c r="D11" i="26"/>
  <c r="D15" i="26" s="1"/>
  <c r="D16" i="26" s="1"/>
  <c r="H10" i="26"/>
  <c r="E15" i="26"/>
  <c r="E16" i="26" s="1"/>
  <c r="E35" i="26" s="1"/>
  <c r="F35" i="26"/>
  <c r="B24" i="26"/>
  <c r="H24" i="26" s="1"/>
  <c r="H9" i="26"/>
  <c r="D24" i="26"/>
  <c r="D33" i="26" s="1"/>
  <c r="D34" i="26" s="1"/>
  <c r="H11" i="26"/>
  <c r="B42" i="25"/>
  <c r="B14" i="25"/>
  <c r="H13" i="25"/>
  <c r="H20" i="25"/>
  <c r="E21" i="25"/>
  <c r="E22" i="25" s="1"/>
  <c r="E43" i="25" s="1"/>
  <c r="H11" i="25"/>
  <c r="D33" i="25"/>
  <c r="H33" i="25" s="1"/>
  <c r="C41" i="25"/>
  <c r="C42" i="25" s="1"/>
  <c r="C43" i="25" s="1"/>
  <c r="H10" i="25"/>
  <c r="D20" i="25"/>
  <c r="D21" i="25" s="1"/>
  <c r="D22" i="25" s="1"/>
  <c r="H26" i="25"/>
  <c r="B13" i="24"/>
  <c r="H11" i="24"/>
  <c r="H10" i="24"/>
  <c r="B18" i="23"/>
  <c r="C16" i="23"/>
  <c r="C18" i="23" s="1"/>
  <c r="G16" i="23"/>
  <c r="H11" i="23"/>
  <c r="F17" i="23"/>
  <c r="F18" i="23" s="1"/>
  <c r="B12" i="22"/>
  <c r="H11" i="22"/>
  <c r="H10" i="22"/>
  <c r="D51" i="18"/>
  <c r="D54" i="18" s="1"/>
  <c r="D16" i="18"/>
  <c r="D17" i="18" s="1"/>
  <c r="E16" i="18"/>
  <c r="E17" i="18" s="1"/>
  <c r="E42" i="18" s="1"/>
  <c r="E51" i="18"/>
  <c r="E54" i="18" s="1"/>
  <c r="H41" i="18"/>
  <c r="H53" i="18"/>
  <c r="F16" i="18"/>
  <c r="F17" i="18" s="1"/>
  <c r="F42" i="18" s="1"/>
  <c r="F51" i="18"/>
  <c r="D55" i="18"/>
  <c r="D60" i="18"/>
  <c r="H55" i="18"/>
  <c r="E41" i="18"/>
  <c r="E53" i="18"/>
  <c r="G40" i="18"/>
  <c r="H51" i="18"/>
  <c r="H54" i="18" s="1"/>
  <c r="H16" i="18"/>
  <c r="H17" i="18" s="1"/>
  <c r="H42" i="18" s="1"/>
  <c r="O45" i="18"/>
  <c r="E55" i="18"/>
  <c r="O15" i="18"/>
  <c r="F53" i="18"/>
  <c r="F41" i="18"/>
  <c r="D40" i="18"/>
  <c r="E45" i="18"/>
  <c r="C52" i="18"/>
  <c r="G52" i="18"/>
  <c r="E58" i="18"/>
  <c r="O58" i="18" s="1"/>
  <c r="G12" i="18"/>
  <c r="C40" i="18"/>
  <c r="O10" i="18"/>
  <c r="O26" i="18"/>
  <c r="F45" i="18"/>
  <c r="F58" i="18"/>
  <c r="C12" i="18"/>
  <c r="F52" i="18"/>
  <c r="C11" i="18"/>
  <c r="G11" i="18"/>
  <c r="O14" i="18"/>
  <c r="H14" i="28" l="1"/>
  <c r="H12" i="28"/>
  <c r="H13" i="28"/>
  <c r="H12" i="27"/>
  <c r="H13" i="27"/>
  <c r="B14" i="27"/>
  <c r="H14" i="27" s="1"/>
  <c r="D35" i="26"/>
  <c r="B33" i="26"/>
  <c r="H16" i="26"/>
  <c r="H15" i="26"/>
  <c r="B21" i="25"/>
  <c r="H14" i="25"/>
  <c r="H41" i="25"/>
  <c r="D41" i="25"/>
  <c r="D42" i="25" s="1"/>
  <c r="D43" i="25" s="1"/>
  <c r="B14" i="24"/>
  <c r="H13" i="24"/>
  <c r="H17" i="23"/>
  <c r="H16" i="23"/>
  <c r="H18" i="23"/>
  <c r="H12" i="22"/>
  <c r="B13" i="22"/>
  <c r="H13" i="22" s="1"/>
  <c r="C16" i="18"/>
  <c r="C51" i="18"/>
  <c r="O12" i="18"/>
  <c r="G55" i="18"/>
  <c r="G53" i="18"/>
  <c r="G41" i="18"/>
  <c r="C53" i="18"/>
  <c r="O40" i="18"/>
  <c r="C41" i="18"/>
  <c r="O41" i="18" s="1"/>
  <c r="O52" i="18"/>
  <c r="C55" i="18"/>
  <c r="O55" i="18" s="1"/>
  <c r="F56" i="18"/>
  <c r="F62" i="18"/>
  <c r="F61" i="18"/>
  <c r="E62" i="18"/>
  <c r="E56" i="18"/>
  <c r="E57" i="18" s="1"/>
  <c r="E61" i="18"/>
  <c r="H61" i="18"/>
  <c r="H62" i="18"/>
  <c r="H56" i="18"/>
  <c r="H57" i="18" s="1"/>
  <c r="O11" i="18"/>
  <c r="G51" i="18"/>
  <c r="G54" i="18" s="1"/>
  <c r="G16" i="18"/>
  <c r="G17" i="18" s="1"/>
  <c r="F60" i="18"/>
  <c r="F55" i="18"/>
  <c r="D41" i="18"/>
  <c r="D42" i="18" s="1"/>
  <c r="D53" i="18"/>
  <c r="E60" i="18"/>
  <c r="H60" i="18"/>
  <c r="F54" i="18"/>
  <c r="B34" i="26" l="1"/>
  <c r="H33" i="26"/>
  <c r="B22" i="25"/>
  <c r="H21" i="25"/>
  <c r="H42" i="25"/>
  <c r="H14" i="24"/>
  <c r="B15" i="24"/>
  <c r="H15" i="24" s="1"/>
  <c r="G42" i="18"/>
  <c r="G61" i="18"/>
  <c r="G62" i="18"/>
  <c r="G56" i="18"/>
  <c r="G57" i="18" s="1"/>
  <c r="C54" i="18"/>
  <c r="O51" i="18"/>
  <c r="C61" i="18"/>
  <c r="O61" i="18" s="1"/>
  <c r="O53" i="18"/>
  <c r="C62" i="18"/>
  <c r="C56" i="18"/>
  <c r="O16" i="18"/>
  <c r="C17" i="18"/>
  <c r="F57" i="18"/>
  <c r="D61" i="18"/>
  <c r="D62" i="18"/>
  <c r="D56" i="18"/>
  <c r="D57" i="18" s="1"/>
  <c r="C60" i="18"/>
  <c r="G60" i="18"/>
  <c r="H34" i="26" l="1"/>
  <c r="B35" i="26"/>
  <c r="H35" i="26" s="1"/>
  <c r="B43" i="25"/>
  <c r="H43" i="25" s="1"/>
  <c r="H22" i="25"/>
  <c r="O60" i="18"/>
  <c r="O62" i="18"/>
  <c r="O56" i="18"/>
  <c r="C42" i="18"/>
  <c r="O42" i="18" s="1"/>
  <c r="O17" i="18"/>
  <c r="C57" i="18"/>
  <c r="O57" i="18" s="1"/>
  <c r="O54" i="18"/>
  <c r="O57" i="21" l="1"/>
  <c r="H53" i="21"/>
  <c r="H55" i="21" s="1"/>
  <c r="H47" i="21"/>
  <c r="G47" i="21"/>
  <c r="F47" i="21"/>
  <c r="E47" i="21"/>
  <c r="D47" i="21"/>
  <c r="C47" i="21"/>
  <c r="O47" i="21" s="1"/>
  <c r="O45" i="21"/>
  <c r="I39" i="21"/>
  <c r="N38" i="21"/>
  <c r="N39" i="21" s="1"/>
  <c r="H37" i="21"/>
  <c r="G37" i="21"/>
  <c r="F37" i="21"/>
  <c r="E37" i="21"/>
  <c r="D37" i="21"/>
  <c r="C37" i="21"/>
  <c r="H36" i="21"/>
  <c r="G36" i="21"/>
  <c r="F36" i="21"/>
  <c r="E36" i="21"/>
  <c r="D36" i="21"/>
  <c r="C36" i="21"/>
  <c r="H35" i="21"/>
  <c r="G35" i="21"/>
  <c r="F35" i="21"/>
  <c r="E35" i="21"/>
  <c r="D35" i="21"/>
  <c r="C35" i="21"/>
  <c r="O35" i="21" s="1"/>
  <c r="H34" i="21"/>
  <c r="G34" i="21"/>
  <c r="F34" i="21"/>
  <c r="E34" i="21"/>
  <c r="O34" i="21" s="1"/>
  <c r="D34" i="21"/>
  <c r="C34" i="21"/>
  <c r="H33" i="21"/>
  <c r="G33" i="21"/>
  <c r="F33" i="21"/>
  <c r="E33" i="21"/>
  <c r="D33" i="21"/>
  <c r="C33" i="21"/>
  <c r="H32" i="21"/>
  <c r="G32" i="21"/>
  <c r="F32" i="21"/>
  <c r="E32" i="21"/>
  <c r="D32" i="21"/>
  <c r="C32" i="21"/>
  <c r="H31" i="21"/>
  <c r="G31" i="21"/>
  <c r="F31" i="21"/>
  <c r="E31" i="21"/>
  <c r="D31" i="21"/>
  <c r="C31" i="21"/>
  <c r="O31" i="21" s="1"/>
  <c r="H30" i="21"/>
  <c r="G30" i="21"/>
  <c r="F30" i="21"/>
  <c r="E30" i="21"/>
  <c r="O30" i="21" s="1"/>
  <c r="D30" i="21"/>
  <c r="C30" i="21"/>
  <c r="H29" i="21"/>
  <c r="G29" i="21"/>
  <c r="F29" i="21"/>
  <c r="E29" i="21"/>
  <c r="D29" i="21"/>
  <c r="C29" i="21"/>
  <c r="M28" i="21"/>
  <c r="M38" i="21" s="1"/>
  <c r="M39" i="21" s="1"/>
  <c r="L28" i="21"/>
  <c r="L38" i="21" s="1"/>
  <c r="L39" i="21" s="1"/>
  <c r="K28" i="21"/>
  <c r="K38" i="21" s="1"/>
  <c r="K39" i="21" s="1"/>
  <c r="J28" i="21"/>
  <c r="J38" i="21" s="1"/>
  <c r="J39" i="21" s="1"/>
  <c r="I28" i="21"/>
  <c r="I38" i="21" s="1"/>
  <c r="H27" i="21"/>
  <c r="H28" i="21" s="1"/>
  <c r="G27" i="21"/>
  <c r="F27" i="21"/>
  <c r="E27" i="21"/>
  <c r="D27" i="21"/>
  <c r="D28" i="21" s="1"/>
  <c r="C27" i="21"/>
  <c r="H26" i="21"/>
  <c r="G26" i="21"/>
  <c r="F26" i="21"/>
  <c r="F28" i="21" s="1"/>
  <c r="E26" i="21"/>
  <c r="E28" i="21" s="1"/>
  <c r="D26" i="21"/>
  <c r="C26" i="21"/>
  <c r="H25" i="21"/>
  <c r="G25" i="21"/>
  <c r="F25" i="21"/>
  <c r="E25" i="21"/>
  <c r="D25" i="21"/>
  <c r="C25" i="21"/>
  <c r="H24" i="21"/>
  <c r="G24" i="21"/>
  <c r="F24" i="21"/>
  <c r="E24" i="21"/>
  <c r="D24" i="21"/>
  <c r="C24" i="21"/>
  <c r="H23" i="21"/>
  <c r="G23" i="21"/>
  <c r="F23" i="21"/>
  <c r="E23" i="21"/>
  <c r="D23" i="21"/>
  <c r="C23" i="21"/>
  <c r="O23" i="21" s="1"/>
  <c r="H22" i="21"/>
  <c r="G22" i="21"/>
  <c r="F22" i="21"/>
  <c r="E22" i="21"/>
  <c r="D22" i="21"/>
  <c r="C22" i="21"/>
  <c r="H21" i="21"/>
  <c r="G21" i="21"/>
  <c r="F21" i="21"/>
  <c r="E21" i="21"/>
  <c r="D21" i="21"/>
  <c r="C21" i="21"/>
  <c r="H20" i="21"/>
  <c r="G20" i="21"/>
  <c r="F20" i="21"/>
  <c r="E20" i="21"/>
  <c r="D20" i="21"/>
  <c r="C20" i="21"/>
  <c r="N15" i="21"/>
  <c r="M15" i="21"/>
  <c r="L15" i="21"/>
  <c r="K15" i="21"/>
  <c r="K16" i="21" s="1"/>
  <c r="K17" i="21" s="1"/>
  <c r="K40" i="21" s="1"/>
  <c r="J15" i="21"/>
  <c r="J16" i="21" s="1"/>
  <c r="J17" i="21" s="1"/>
  <c r="I15" i="21"/>
  <c r="H15" i="21"/>
  <c r="H50" i="21" s="1"/>
  <c r="H56" i="21" s="1"/>
  <c r="H58" i="21" s="1"/>
  <c r="D15" i="21"/>
  <c r="D50" i="21" s="1"/>
  <c r="H14" i="21"/>
  <c r="G14" i="21"/>
  <c r="F14" i="21"/>
  <c r="F15" i="21" s="1"/>
  <c r="F50" i="21" s="1"/>
  <c r="E14" i="21"/>
  <c r="E15" i="21" s="1"/>
  <c r="E50" i="21" s="1"/>
  <c r="D14" i="21"/>
  <c r="C14" i="21"/>
  <c r="N12" i="21"/>
  <c r="M12" i="21"/>
  <c r="M16" i="21" s="1"/>
  <c r="M17" i="21" s="1"/>
  <c r="L12" i="21"/>
  <c r="K12" i="21"/>
  <c r="J12" i="21"/>
  <c r="I12" i="21"/>
  <c r="I16" i="21" s="1"/>
  <c r="I17" i="21" s="1"/>
  <c r="I40" i="21" s="1"/>
  <c r="N11" i="21"/>
  <c r="M11" i="21"/>
  <c r="L11" i="21"/>
  <c r="K11" i="21"/>
  <c r="J11" i="21"/>
  <c r="I11" i="21"/>
  <c r="E11" i="21"/>
  <c r="D11" i="21"/>
  <c r="H10" i="21"/>
  <c r="H43" i="21" s="1"/>
  <c r="G10" i="21"/>
  <c r="G43" i="21" s="1"/>
  <c r="F10" i="21"/>
  <c r="E10" i="21"/>
  <c r="E43" i="21" s="1"/>
  <c r="D10" i="21"/>
  <c r="D43" i="21" s="1"/>
  <c r="C10" i="21"/>
  <c r="C11" i="21" s="1"/>
  <c r="O8" i="21"/>
  <c r="J40" i="21" l="1"/>
  <c r="E56" i="21"/>
  <c r="C12" i="21"/>
  <c r="C49" i="21" s="1"/>
  <c r="C52" i="21" s="1"/>
  <c r="G38" i="21"/>
  <c r="G39" i="21" s="1"/>
  <c r="O24" i="21"/>
  <c r="O29" i="21"/>
  <c r="O32" i="21"/>
  <c r="O33" i="21"/>
  <c r="O37" i="21"/>
  <c r="N16" i="21"/>
  <c r="N17" i="21" s="1"/>
  <c r="N40" i="21" s="1"/>
  <c r="F38" i="21"/>
  <c r="F39" i="21" s="1"/>
  <c r="H11" i="21"/>
  <c r="D12" i="21"/>
  <c r="C56" i="21"/>
  <c r="G56" i="21"/>
  <c r="O21" i="21"/>
  <c r="G28" i="21"/>
  <c r="H12" i="21"/>
  <c r="H16" i="21" s="1"/>
  <c r="H17" i="21" s="1"/>
  <c r="L16" i="21"/>
  <c r="L17" i="21" s="1"/>
  <c r="L40" i="21" s="1"/>
  <c r="D56" i="21"/>
  <c r="M40" i="21"/>
  <c r="F51" i="21"/>
  <c r="D53" i="21"/>
  <c r="O20" i="21"/>
  <c r="H49" i="21"/>
  <c r="F43" i="21"/>
  <c r="F53" i="21" s="1"/>
  <c r="F11" i="21"/>
  <c r="D16" i="21"/>
  <c r="D17" i="21" s="1"/>
  <c r="D38" i="21"/>
  <c r="H38" i="21"/>
  <c r="C28" i="21"/>
  <c r="O28" i="21" s="1"/>
  <c r="O26" i="21"/>
  <c r="O10" i="21"/>
  <c r="F12" i="21"/>
  <c r="O14" i="21"/>
  <c r="G15" i="21"/>
  <c r="G50" i="21" s="1"/>
  <c r="E38" i="21"/>
  <c r="C43" i="21"/>
  <c r="O43" i="21" s="1"/>
  <c r="E53" i="21"/>
  <c r="G11" i="21"/>
  <c r="G12" i="21"/>
  <c r="F56" i="21"/>
  <c r="C15" i="21"/>
  <c r="O22" i="21"/>
  <c r="O27" i="21"/>
  <c r="O36" i="21"/>
  <c r="D49" i="21"/>
  <c r="D52" i="21" s="1"/>
  <c r="E12" i="21"/>
  <c r="O11" i="21" l="1"/>
  <c r="G51" i="21"/>
  <c r="O56" i="21"/>
  <c r="C16" i="21"/>
  <c r="C17" i="21" s="1"/>
  <c r="E49" i="21"/>
  <c r="E16" i="21"/>
  <c r="E17" i="21" s="1"/>
  <c r="E40" i="21" s="1"/>
  <c r="O12" i="21"/>
  <c r="F49" i="21"/>
  <c r="F60" i="21" s="1"/>
  <c r="F16" i="21"/>
  <c r="F17" i="21" s="1"/>
  <c r="F40" i="21" s="1"/>
  <c r="H39" i="21"/>
  <c r="H40" i="21" s="1"/>
  <c r="H51" i="21"/>
  <c r="C38" i="21"/>
  <c r="G49" i="21"/>
  <c r="G52" i="21" s="1"/>
  <c r="G16" i="21"/>
  <c r="G17" i="21" s="1"/>
  <c r="G40" i="21" s="1"/>
  <c r="E51" i="21"/>
  <c r="E39" i="21"/>
  <c r="D39" i="21"/>
  <c r="D40" i="21" s="1"/>
  <c r="D51" i="21"/>
  <c r="G54" i="21"/>
  <c r="F54" i="21"/>
  <c r="C50" i="21"/>
  <c r="O15" i="21"/>
  <c r="G53" i="21"/>
  <c r="D58" i="21"/>
  <c r="D59" i="21" l="1"/>
  <c r="D54" i="21"/>
  <c r="D55" i="21" s="1"/>
  <c r="D60" i="21"/>
  <c r="C58" i="21"/>
  <c r="C53" i="21"/>
  <c r="O50" i="21"/>
  <c r="G55" i="21"/>
  <c r="C39" i="21"/>
  <c r="O39" i="21" s="1"/>
  <c r="C51" i="21"/>
  <c r="O38" i="21"/>
  <c r="E52" i="21"/>
  <c r="E58" i="21"/>
  <c r="O49" i="21"/>
  <c r="G59" i="21"/>
  <c r="O16" i="21"/>
  <c r="F52" i="21"/>
  <c r="F55" i="21" s="1"/>
  <c r="F58" i="21"/>
  <c r="G58" i="21"/>
  <c r="F59" i="21"/>
  <c r="G60" i="21"/>
  <c r="E59" i="21"/>
  <c r="E54" i="21"/>
  <c r="E60" i="21"/>
  <c r="C40" i="21"/>
  <c r="O40" i="21" s="1"/>
  <c r="O17" i="21"/>
  <c r="O58" i="21" l="1"/>
  <c r="E55" i="21"/>
  <c r="O52" i="21"/>
  <c r="C60" i="21"/>
  <c r="O60" i="21" s="1"/>
  <c r="O51" i="21"/>
  <c r="C59" i="21"/>
  <c r="O59" i="21" s="1"/>
  <c r="C54" i="21"/>
  <c r="O54" i="21" s="1"/>
  <c r="O53" i="21"/>
  <c r="C55" i="21" l="1"/>
  <c r="O55" i="21" s="1"/>
  <c r="G14" i="20" l="1"/>
  <c r="G15" i="20" s="1"/>
  <c r="G16" i="20" s="1"/>
  <c r="C14" i="20"/>
  <c r="C15" i="20" s="1"/>
  <c r="C16" i="20" s="1"/>
  <c r="B14" i="20"/>
  <c r="B15" i="20" s="1"/>
  <c r="H13" i="20"/>
  <c r="F13" i="20"/>
  <c r="H12" i="20"/>
  <c r="F12" i="20"/>
  <c r="F14" i="20" s="1"/>
  <c r="F15" i="20" s="1"/>
  <c r="F16" i="20" s="1"/>
  <c r="F11" i="20"/>
  <c r="D11" i="20"/>
  <c r="H11" i="20" s="1"/>
  <c r="G10" i="20"/>
  <c r="F10" i="20"/>
  <c r="E10" i="20"/>
  <c r="E14" i="20" s="1"/>
  <c r="E15" i="20" s="1"/>
  <c r="E16" i="20" s="1"/>
  <c r="C10" i="20"/>
  <c r="B10" i="20"/>
  <c r="H9" i="20"/>
  <c r="D9" i="20"/>
  <c r="D10" i="20" s="1"/>
  <c r="D14" i="20" s="1"/>
  <c r="D15" i="20" s="1"/>
  <c r="D16" i="20" s="1"/>
  <c r="H8" i="20"/>
  <c r="H7" i="20"/>
  <c r="E30" i="16"/>
  <c r="E31" i="16" s="1"/>
  <c r="G29" i="16"/>
  <c r="G30" i="16" s="1"/>
  <c r="G31" i="16" s="1"/>
  <c r="F29" i="16"/>
  <c r="F30" i="16" s="1"/>
  <c r="F31" i="16" s="1"/>
  <c r="E29" i="16"/>
  <c r="D29" i="16"/>
  <c r="D30" i="16" s="1"/>
  <c r="D31" i="16" s="1"/>
  <c r="C29" i="16"/>
  <c r="C30" i="16" s="1"/>
  <c r="C31" i="16" s="1"/>
  <c r="B29" i="16"/>
  <c r="G26" i="17"/>
  <c r="F26" i="17"/>
  <c r="E26" i="17"/>
  <c r="D26" i="17"/>
  <c r="C26" i="17"/>
  <c r="B26" i="17"/>
  <c r="H26" i="17" s="1"/>
  <c r="H25" i="17"/>
  <c r="G25" i="17"/>
  <c r="F24" i="17"/>
  <c r="H24" i="17" s="1"/>
  <c r="H23" i="17"/>
  <c r="E23" i="17"/>
  <c r="G22" i="17"/>
  <c r="H22" i="17" s="1"/>
  <c r="F21" i="17"/>
  <c r="D21" i="17"/>
  <c r="H21" i="17" s="1"/>
  <c r="H20" i="17"/>
  <c r="G20" i="17"/>
  <c r="F20" i="17"/>
  <c r="E20" i="17"/>
  <c r="D20" i="17"/>
  <c r="C20" i="17"/>
  <c r="B20" i="17"/>
  <c r="G19" i="17"/>
  <c r="G27" i="17" s="1"/>
  <c r="G28" i="17" s="1"/>
  <c r="F19" i="17"/>
  <c r="F27" i="17" s="1"/>
  <c r="F28" i="17" s="1"/>
  <c r="E19" i="17"/>
  <c r="E27" i="17" s="1"/>
  <c r="E28" i="17" s="1"/>
  <c r="D19" i="17"/>
  <c r="D27" i="17" s="1"/>
  <c r="D28" i="17" s="1"/>
  <c r="C19" i="17"/>
  <c r="H19" i="17" s="1"/>
  <c r="B19" i="17"/>
  <c r="B27" i="17" s="1"/>
  <c r="H18" i="17"/>
  <c r="F14" i="17"/>
  <c r="E14" i="17"/>
  <c r="B14" i="17"/>
  <c r="H13" i="17"/>
  <c r="G14" i="17"/>
  <c r="D14" i="17"/>
  <c r="C14" i="17"/>
  <c r="H12" i="17"/>
  <c r="D11" i="17"/>
  <c r="G10" i="17"/>
  <c r="G11" i="17" s="1"/>
  <c r="D10" i="17"/>
  <c r="C10" i="17"/>
  <c r="C11" i="17" s="1"/>
  <c r="C15" i="17" s="1"/>
  <c r="C16" i="17" s="1"/>
  <c r="G9" i="17"/>
  <c r="F9" i="17"/>
  <c r="F10" i="17" s="1"/>
  <c r="F11" i="17" s="1"/>
  <c r="F15" i="17" s="1"/>
  <c r="F16" i="17" s="1"/>
  <c r="E9" i="17"/>
  <c r="E10" i="17" s="1"/>
  <c r="E11" i="17" s="1"/>
  <c r="E15" i="17" s="1"/>
  <c r="E16" i="17" s="1"/>
  <c r="D9" i="17"/>
  <c r="C9" i="17"/>
  <c r="B9" i="17"/>
  <c r="B10" i="17" s="1"/>
  <c r="H8" i="17"/>
  <c r="H7" i="17"/>
  <c r="G28" i="16"/>
  <c r="F28" i="16"/>
  <c r="E28" i="16"/>
  <c r="D28" i="16"/>
  <c r="C28" i="16"/>
  <c r="B28" i="16"/>
  <c r="E27" i="16"/>
  <c r="H27" i="16" s="1"/>
  <c r="G26" i="16"/>
  <c r="H26" i="16" s="1"/>
  <c r="D25" i="16"/>
  <c r="F24" i="16"/>
  <c r="H24" i="16" s="1"/>
  <c r="E23" i="16"/>
  <c r="H23" i="16" s="1"/>
  <c r="G22" i="16"/>
  <c r="H22" i="16" s="1"/>
  <c r="F21" i="16"/>
  <c r="D21" i="16"/>
  <c r="G20" i="16"/>
  <c r="F20" i="16"/>
  <c r="E20" i="16"/>
  <c r="D20" i="16"/>
  <c r="C20" i="16"/>
  <c r="B20" i="16"/>
  <c r="G19" i="16"/>
  <c r="F19" i="16"/>
  <c r="E19" i="16"/>
  <c r="D19" i="16"/>
  <c r="C19" i="16"/>
  <c r="B19" i="16"/>
  <c r="H18" i="16"/>
  <c r="G14" i="16"/>
  <c r="E14" i="16"/>
  <c r="D14" i="16"/>
  <c r="C14" i="16"/>
  <c r="F14" i="16"/>
  <c r="B14" i="16"/>
  <c r="H12" i="16"/>
  <c r="G9" i="16"/>
  <c r="G10" i="16" s="1"/>
  <c r="G11" i="16" s="1"/>
  <c r="F9" i="16"/>
  <c r="F10" i="16" s="1"/>
  <c r="F11" i="16" s="1"/>
  <c r="E9" i="16"/>
  <c r="E10" i="16" s="1"/>
  <c r="E11" i="16" s="1"/>
  <c r="D9" i="16"/>
  <c r="D10" i="16" s="1"/>
  <c r="D11" i="16" s="1"/>
  <c r="C9" i="16"/>
  <c r="C10" i="16" s="1"/>
  <c r="C11" i="16" s="1"/>
  <c r="B9" i="16"/>
  <c r="B10" i="16" s="1"/>
  <c r="B11" i="16" s="1"/>
  <c r="H8" i="16"/>
  <c r="H7" i="16"/>
  <c r="L20" i="15"/>
  <c r="L21" i="15" s="1"/>
  <c r="H20" i="15"/>
  <c r="H21" i="15" s="1"/>
  <c r="D20" i="15"/>
  <c r="D21" i="15" s="1"/>
  <c r="M19" i="15"/>
  <c r="M20" i="15" s="1"/>
  <c r="L19" i="15"/>
  <c r="K19" i="15"/>
  <c r="K20" i="15" s="1"/>
  <c r="K21" i="15" s="1"/>
  <c r="J19" i="15"/>
  <c r="J20" i="15" s="1"/>
  <c r="I19" i="15"/>
  <c r="I20" i="15" s="1"/>
  <c r="H19" i="15"/>
  <c r="G19" i="15"/>
  <c r="G20" i="15" s="1"/>
  <c r="G21" i="15" s="1"/>
  <c r="F19" i="15"/>
  <c r="F20" i="15" s="1"/>
  <c r="E19" i="15"/>
  <c r="E20" i="15" s="1"/>
  <c r="D19" i="15"/>
  <c r="C19" i="15"/>
  <c r="C20" i="15" s="1"/>
  <c r="C21" i="15" s="1"/>
  <c r="B19" i="15"/>
  <c r="N19" i="15" s="1"/>
  <c r="N18" i="15"/>
  <c r="N17" i="15"/>
  <c r="N16" i="15"/>
  <c r="N15" i="15"/>
  <c r="N13" i="15"/>
  <c r="N12" i="15"/>
  <c r="N11" i="15"/>
  <c r="M8" i="15"/>
  <c r="L8" i="15"/>
  <c r="K8" i="15"/>
  <c r="J8" i="15"/>
  <c r="I8" i="15"/>
  <c r="H8" i="15"/>
  <c r="G8" i="15"/>
  <c r="F8" i="15"/>
  <c r="E8" i="15"/>
  <c r="D8" i="15"/>
  <c r="C8" i="15"/>
  <c r="B8" i="15"/>
  <c r="A3" i="15"/>
  <c r="C32" i="14"/>
  <c r="C33" i="14" s="1"/>
  <c r="G31" i="14"/>
  <c r="F31" i="14"/>
  <c r="E31" i="14"/>
  <c r="D31" i="14"/>
  <c r="C31" i="14"/>
  <c r="B31" i="14"/>
  <c r="H31" i="14" s="1"/>
  <c r="E30" i="14"/>
  <c r="H30" i="14" s="1"/>
  <c r="G29" i="14"/>
  <c r="H29" i="14" s="1"/>
  <c r="B28" i="14"/>
  <c r="H28" i="14" s="1"/>
  <c r="F27" i="14"/>
  <c r="H27" i="14" s="1"/>
  <c r="F26" i="14"/>
  <c r="H26" i="14" s="1"/>
  <c r="G25" i="14"/>
  <c r="H25" i="14" s="1"/>
  <c r="F24" i="14"/>
  <c r="D24" i="14"/>
  <c r="H24" i="14" s="1"/>
  <c r="G23" i="14"/>
  <c r="F23" i="14"/>
  <c r="E23" i="14"/>
  <c r="C23" i="14"/>
  <c r="B23" i="14"/>
  <c r="D22" i="14"/>
  <c r="H22" i="14" s="1"/>
  <c r="H21" i="14"/>
  <c r="G20" i="14"/>
  <c r="F20" i="14"/>
  <c r="E20" i="14"/>
  <c r="D20" i="14"/>
  <c r="C20" i="14"/>
  <c r="B20" i="14"/>
  <c r="H20" i="14" s="1"/>
  <c r="G19" i="14"/>
  <c r="F19" i="14"/>
  <c r="F32" i="14" s="1"/>
  <c r="F33" i="14" s="1"/>
  <c r="E19" i="14"/>
  <c r="E32" i="14" s="1"/>
  <c r="E33" i="14" s="1"/>
  <c r="D19" i="14"/>
  <c r="C19" i="14"/>
  <c r="B19" i="14"/>
  <c r="B32" i="14" s="1"/>
  <c r="H18" i="14"/>
  <c r="G14" i="14"/>
  <c r="E14" i="14"/>
  <c r="D14" i="14"/>
  <c r="C14" i="14"/>
  <c r="F14" i="14"/>
  <c r="B14" i="14"/>
  <c r="H12" i="14"/>
  <c r="G11" i="14"/>
  <c r="F11" i="14"/>
  <c r="F15" i="14" s="1"/>
  <c r="F16" i="14" s="1"/>
  <c r="F34" i="14" s="1"/>
  <c r="C11" i="14"/>
  <c r="C15" i="14" s="1"/>
  <c r="C16" i="14" s="1"/>
  <c r="C34" i="14" s="1"/>
  <c r="B11" i="14"/>
  <c r="B15" i="14" s="1"/>
  <c r="G10" i="14"/>
  <c r="F10" i="14"/>
  <c r="E10" i="14"/>
  <c r="E11" i="14" s="1"/>
  <c r="E15" i="14" s="1"/>
  <c r="E16" i="14" s="1"/>
  <c r="C10" i="14"/>
  <c r="B10" i="14"/>
  <c r="G9" i="14"/>
  <c r="F9" i="14"/>
  <c r="E9" i="14"/>
  <c r="D9" i="14"/>
  <c r="D10" i="14" s="1"/>
  <c r="D11" i="14" s="1"/>
  <c r="C9" i="14"/>
  <c r="B9" i="14"/>
  <c r="H8" i="14"/>
  <c r="H7" i="14"/>
  <c r="C25" i="13"/>
  <c r="C26" i="13" s="1"/>
  <c r="G24" i="13"/>
  <c r="F24" i="13"/>
  <c r="E24" i="13"/>
  <c r="D24" i="13"/>
  <c r="C24" i="13"/>
  <c r="B24" i="13"/>
  <c r="H24" i="13" s="1"/>
  <c r="E23" i="13"/>
  <c r="H23" i="13" s="1"/>
  <c r="G22" i="13"/>
  <c r="H22" i="13" s="1"/>
  <c r="G21" i="13"/>
  <c r="H21" i="13" s="1"/>
  <c r="F20" i="13"/>
  <c r="D20" i="13"/>
  <c r="H20" i="13" s="1"/>
  <c r="G19" i="13"/>
  <c r="F19" i="13"/>
  <c r="F25" i="13" s="1"/>
  <c r="F26" i="13" s="1"/>
  <c r="E19" i="13"/>
  <c r="D19" i="13"/>
  <c r="D25" i="13" s="1"/>
  <c r="D26" i="13" s="1"/>
  <c r="C19" i="13"/>
  <c r="B19" i="13"/>
  <c r="B25" i="13" s="1"/>
  <c r="H18" i="13"/>
  <c r="F14" i="13"/>
  <c r="D14" i="13"/>
  <c r="B14" i="13"/>
  <c r="G13" i="13"/>
  <c r="G14" i="13" s="1"/>
  <c r="F13" i="13"/>
  <c r="E13" i="13"/>
  <c r="E14" i="13" s="1"/>
  <c r="D13" i="13"/>
  <c r="C13" i="13"/>
  <c r="C14" i="13" s="1"/>
  <c r="H14" i="13" s="1"/>
  <c r="B13" i="13"/>
  <c r="H13" i="13" s="1"/>
  <c r="H12" i="13"/>
  <c r="C11" i="13"/>
  <c r="F10" i="13"/>
  <c r="F11" i="13" s="1"/>
  <c r="F15" i="13" s="1"/>
  <c r="F16" i="13" s="1"/>
  <c r="F27" i="13" s="1"/>
  <c r="D10" i="13"/>
  <c r="D11" i="13" s="1"/>
  <c r="D15" i="13" s="1"/>
  <c r="D16" i="13" s="1"/>
  <c r="D27" i="13" s="1"/>
  <c r="C10" i="13"/>
  <c r="B10" i="13"/>
  <c r="B11" i="13" s="1"/>
  <c r="G9" i="13"/>
  <c r="G10" i="13" s="1"/>
  <c r="G11" i="13" s="1"/>
  <c r="G15" i="13" s="1"/>
  <c r="G16" i="13" s="1"/>
  <c r="F9" i="13"/>
  <c r="E9" i="13"/>
  <c r="E10" i="13" s="1"/>
  <c r="E11" i="13" s="1"/>
  <c r="E15" i="13" s="1"/>
  <c r="E16" i="13" s="1"/>
  <c r="D9" i="13"/>
  <c r="B9" i="13"/>
  <c r="H9" i="13" s="1"/>
  <c r="H8" i="13"/>
  <c r="H7" i="13"/>
  <c r="D25" i="12"/>
  <c r="D24" i="12"/>
  <c r="C24" i="12"/>
  <c r="C25" i="12" s="1"/>
  <c r="G23" i="12"/>
  <c r="F23" i="12"/>
  <c r="E23" i="12"/>
  <c r="D23" i="12"/>
  <c r="C23" i="12"/>
  <c r="B23" i="12"/>
  <c r="B24" i="12" s="1"/>
  <c r="E22" i="12"/>
  <c r="H22" i="12" s="1"/>
  <c r="G21" i="12"/>
  <c r="G24" i="12" s="1"/>
  <c r="G25" i="12" s="1"/>
  <c r="G20" i="12"/>
  <c r="H20" i="12" s="1"/>
  <c r="F19" i="12"/>
  <c r="F24" i="12" s="1"/>
  <c r="F25" i="12" s="1"/>
  <c r="D19" i="12"/>
  <c r="H18" i="12"/>
  <c r="G14" i="12"/>
  <c r="F14" i="12"/>
  <c r="E14" i="12"/>
  <c r="C14" i="12"/>
  <c r="B14" i="12"/>
  <c r="G13" i="12"/>
  <c r="F13" i="12"/>
  <c r="E13" i="12"/>
  <c r="D13" i="12"/>
  <c r="D14" i="12" s="1"/>
  <c r="C13" i="12"/>
  <c r="B13" i="12"/>
  <c r="H12" i="12"/>
  <c r="E11" i="12"/>
  <c r="E15" i="12" s="1"/>
  <c r="E16" i="12" s="1"/>
  <c r="D11" i="12"/>
  <c r="G10" i="12"/>
  <c r="G11" i="12" s="1"/>
  <c r="G15" i="12" s="1"/>
  <c r="G16" i="12" s="1"/>
  <c r="E10" i="12"/>
  <c r="D10" i="12"/>
  <c r="C10" i="12"/>
  <c r="C11" i="12" s="1"/>
  <c r="C15" i="12" s="1"/>
  <c r="C16" i="12" s="1"/>
  <c r="G9" i="12"/>
  <c r="F9" i="12"/>
  <c r="F10" i="12" s="1"/>
  <c r="F11" i="12" s="1"/>
  <c r="F15" i="12" s="1"/>
  <c r="F16" i="12" s="1"/>
  <c r="F26" i="12" s="1"/>
  <c r="E9" i="12"/>
  <c r="D9" i="12"/>
  <c r="B9" i="12"/>
  <c r="B10" i="12" s="1"/>
  <c r="H8" i="12"/>
  <c r="H7" i="12"/>
  <c r="F32" i="11"/>
  <c r="H32" i="11" s="1"/>
  <c r="G31" i="11"/>
  <c r="F31" i="11"/>
  <c r="E31" i="11"/>
  <c r="D31" i="11"/>
  <c r="H31" i="11" s="1"/>
  <c r="C31" i="11"/>
  <c r="B31" i="11"/>
  <c r="E30" i="11"/>
  <c r="H30" i="11" s="1"/>
  <c r="G29" i="11"/>
  <c r="H29" i="11" s="1"/>
  <c r="F28" i="11"/>
  <c r="H28" i="11" s="1"/>
  <c r="G27" i="11"/>
  <c r="F27" i="11"/>
  <c r="H27" i="11" s="1"/>
  <c r="H26" i="11"/>
  <c r="F26" i="11"/>
  <c r="D26" i="11"/>
  <c r="G25" i="11"/>
  <c r="F25" i="11"/>
  <c r="E25" i="11"/>
  <c r="D25" i="11"/>
  <c r="C25" i="11"/>
  <c r="H25" i="11" s="1"/>
  <c r="B25" i="11"/>
  <c r="G24" i="11"/>
  <c r="H24" i="11" s="1"/>
  <c r="H23" i="11"/>
  <c r="G22" i="11"/>
  <c r="F22" i="11"/>
  <c r="E22" i="11"/>
  <c r="D22" i="11"/>
  <c r="C22" i="11"/>
  <c r="B22" i="11"/>
  <c r="H22" i="11" s="1"/>
  <c r="G21" i="11"/>
  <c r="F21" i="11"/>
  <c r="F33" i="11" s="1"/>
  <c r="F34" i="11" s="1"/>
  <c r="E21" i="11"/>
  <c r="E33" i="11" s="1"/>
  <c r="E34" i="11" s="1"/>
  <c r="D21" i="11"/>
  <c r="D33" i="11" s="1"/>
  <c r="D34" i="11" s="1"/>
  <c r="C21" i="11"/>
  <c r="B21" i="11"/>
  <c r="G20" i="11"/>
  <c r="G33" i="11" s="1"/>
  <c r="G34" i="11" s="1"/>
  <c r="E20" i="11"/>
  <c r="C20" i="11"/>
  <c r="B20" i="11"/>
  <c r="B33" i="11" s="1"/>
  <c r="H19" i="11"/>
  <c r="G15" i="11"/>
  <c r="D15" i="11"/>
  <c r="C15" i="11"/>
  <c r="H14" i="11"/>
  <c r="G13" i="11"/>
  <c r="F13" i="11"/>
  <c r="F15" i="11" s="1"/>
  <c r="E13" i="11"/>
  <c r="E15" i="11" s="1"/>
  <c r="D13" i="11"/>
  <c r="C13" i="11"/>
  <c r="B13" i="11"/>
  <c r="B15" i="11" s="1"/>
  <c r="H12" i="11"/>
  <c r="F11" i="11"/>
  <c r="E11" i="11"/>
  <c r="B11" i="11"/>
  <c r="F10" i="11"/>
  <c r="E10" i="11"/>
  <c r="D10" i="11"/>
  <c r="D11" i="11" s="1"/>
  <c r="D16" i="11" s="1"/>
  <c r="D17" i="11" s="1"/>
  <c r="D35" i="11" s="1"/>
  <c r="B10" i="11"/>
  <c r="G9" i="11"/>
  <c r="G10" i="11" s="1"/>
  <c r="G11" i="11" s="1"/>
  <c r="G16" i="11" s="1"/>
  <c r="G17" i="11" s="1"/>
  <c r="G35" i="11" s="1"/>
  <c r="F9" i="11"/>
  <c r="E9" i="11"/>
  <c r="D9" i="11"/>
  <c r="C9" i="11"/>
  <c r="C10" i="11" s="1"/>
  <c r="B9" i="11"/>
  <c r="H8" i="11"/>
  <c r="H7" i="11"/>
  <c r="F32" i="10"/>
  <c r="H32" i="10" s="1"/>
  <c r="H31" i="10"/>
  <c r="G31" i="10"/>
  <c r="F31" i="10"/>
  <c r="E31" i="10"/>
  <c r="D31" i="10"/>
  <c r="C31" i="10"/>
  <c r="B31" i="10"/>
  <c r="E30" i="10"/>
  <c r="H30" i="10" s="1"/>
  <c r="H29" i="10"/>
  <c r="G29" i="10"/>
  <c r="G28" i="10"/>
  <c r="H28" i="10" s="1"/>
  <c r="H27" i="10"/>
  <c r="F27" i="10"/>
  <c r="G26" i="10"/>
  <c r="H26" i="10" s="1"/>
  <c r="F25" i="10"/>
  <c r="D25" i="10"/>
  <c r="H25" i="10" s="1"/>
  <c r="F24" i="10"/>
  <c r="E24" i="10"/>
  <c r="D24" i="10"/>
  <c r="D33" i="10" s="1"/>
  <c r="D34" i="10" s="1"/>
  <c r="C24" i="10"/>
  <c r="B24" i="10"/>
  <c r="G23" i="10"/>
  <c r="G24" i="10" s="1"/>
  <c r="G33" i="10" s="1"/>
  <c r="G34" i="10" s="1"/>
  <c r="H22" i="10"/>
  <c r="G21" i="10"/>
  <c r="F21" i="10"/>
  <c r="E21" i="10"/>
  <c r="D21" i="10"/>
  <c r="C21" i="10"/>
  <c r="B21" i="10"/>
  <c r="H21" i="10" s="1"/>
  <c r="G20" i="10"/>
  <c r="F20" i="10"/>
  <c r="E20" i="10"/>
  <c r="D20" i="10"/>
  <c r="C20" i="10"/>
  <c r="B20" i="10"/>
  <c r="H20" i="10" s="1"/>
  <c r="G19" i="10"/>
  <c r="F19" i="10"/>
  <c r="F33" i="10" s="1"/>
  <c r="F34" i="10" s="1"/>
  <c r="E19" i="10"/>
  <c r="E33" i="10" s="1"/>
  <c r="E34" i="10" s="1"/>
  <c r="C19" i="10"/>
  <c r="C33" i="10" s="1"/>
  <c r="C34" i="10" s="1"/>
  <c r="B19" i="10"/>
  <c r="B33" i="10" s="1"/>
  <c r="H18" i="10"/>
  <c r="F14" i="10"/>
  <c r="E14" i="10"/>
  <c r="B14" i="10"/>
  <c r="G14" i="10"/>
  <c r="D14" i="10"/>
  <c r="C14" i="10"/>
  <c r="H12" i="10"/>
  <c r="D11" i="10"/>
  <c r="D15" i="10" s="1"/>
  <c r="D16" i="10" s="1"/>
  <c r="G10" i="10"/>
  <c r="G11" i="10" s="1"/>
  <c r="G15" i="10" s="1"/>
  <c r="G16" i="10" s="1"/>
  <c r="G35" i="10" s="1"/>
  <c r="D10" i="10"/>
  <c r="C10" i="10"/>
  <c r="C11" i="10" s="1"/>
  <c r="C15" i="10" s="1"/>
  <c r="C16" i="10" s="1"/>
  <c r="C35" i="10" s="1"/>
  <c r="G9" i="10"/>
  <c r="F9" i="10"/>
  <c r="F10" i="10" s="1"/>
  <c r="F11" i="10" s="1"/>
  <c r="F15" i="10" s="1"/>
  <c r="F16" i="10" s="1"/>
  <c r="F35" i="10" s="1"/>
  <c r="E9" i="10"/>
  <c r="E10" i="10" s="1"/>
  <c r="E11" i="10" s="1"/>
  <c r="E15" i="10" s="1"/>
  <c r="E16" i="10" s="1"/>
  <c r="E35" i="10" s="1"/>
  <c r="D9" i="10"/>
  <c r="C9" i="10"/>
  <c r="B9" i="10"/>
  <c r="B10" i="10" s="1"/>
  <c r="H8" i="10"/>
  <c r="H7" i="10"/>
  <c r="G34" i="9"/>
  <c r="F34" i="9"/>
  <c r="H34" i="9" s="1"/>
  <c r="G33" i="9"/>
  <c r="F33" i="9"/>
  <c r="E33" i="9"/>
  <c r="D33" i="9"/>
  <c r="C33" i="9"/>
  <c r="B33" i="9"/>
  <c r="H33" i="9" s="1"/>
  <c r="H32" i="9"/>
  <c r="E32" i="9"/>
  <c r="H31" i="9"/>
  <c r="G31" i="9"/>
  <c r="H30" i="9"/>
  <c r="D30" i="9"/>
  <c r="H29" i="9"/>
  <c r="F29" i="9"/>
  <c r="H28" i="9"/>
  <c r="F28" i="9"/>
  <c r="H27" i="9"/>
  <c r="D27" i="9"/>
  <c r="H26" i="9"/>
  <c r="G26" i="9"/>
  <c r="F25" i="9"/>
  <c r="D25" i="9"/>
  <c r="H25" i="9" s="1"/>
  <c r="F24" i="9"/>
  <c r="E24" i="9"/>
  <c r="D24" i="9"/>
  <c r="C24" i="9"/>
  <c r="B24" i="9"/>
  <c r="G23" i="9"/>
  <c r="G24" i="9" s="1"/>
  <c r="H22" i="9"/>
  <c r="G21" i="9"/>
  <c r="G35" i="9" s="1"/>
  <c r="G36" i="9" s="1"/>
  <c r="F21" i="9"/>
  <c r="E21" i="9"/>
  <c r="D21" i="9"/>
  <c r="C21" i="9"/>
  <c r="C35" i="9" s="1"/>
  <c r="C36" i="9" s="1"/>
  <c r="B21" i="9"/>
  <c r="H21" i="9" s="1"/>
  <c r="G20" i="9"/>
  <c r="F20" i="9"/>
  <c r="F35" i="9" s="1"/>
  <c r="F36" i="9" s="1"/>
  <c r="E20" i="9"/>
  <c r="D20" i="9"/>
  <c r="D35" i="9" s="1"/>
  <c r="D36" i="9" s="1"/>
  <c r="C20" i="9"/>
  <c r="B20" i="9"/>
  <c r="H20" i="9" s="1"/>
  <c r="H19" i="9"/>
  <c r="E19" i="9"/>
  <c r="E35" i="9" s="1"/>
  <c r="E36" i="9" s="1"/>
  <c r="C19" i="9"/>
  <c r="B19" i="9"/>
  <c r="B35" i="9" s="1"/>
  <c r="H18" i="9"/>
  <c r="G14" i="9"/>
  <c r="D14" i="9"/>
  <c r="C14" i="9"/>
  <c r="G13" i="9"/>
  <c r="F13" i="9"/>
  <c r="F14" i="9" s="1"/>
  <c r="E13" i="9"/>
  <c r="E14" i="9" s="1"/>
  <c r="D13" i="9"/>
  <c r="C13" i="9"/>
  <c r="B13" i="9"/>
  <c r="B14" i="9" s="1"/>
  <c r="H14" i="9" s="1"/>
  <c r="H12" i="9"/>
  <c r="F11" i="9"/>
  <c r="F15" i="9" s="1"/>
  <c r="F16" i="9" s="1"/>
  <c r="F37" i="9" s="1"/>
  <c r="B11" i="9"/>
  <c r="B15" i="9" s="1"/>
  <c r="F10" i="9"/>
  <c r="E10" i="9"/>
  <c r="E11" i="9" s="1"/>
  <c r="E15" i="9" s="1"/>
  <c r="E16" i="9" s="1"/>
  <c r="E37" i="9" s="1"/>
  <c r="B10" i="9"/>
  <c r="G9" i="9"/>
  <c r="G10" i="9" s="1"/>
  <c r="G11" i="9" s="1"/>
  <c r="G15" i="9" s="1"/>
  <c r="G16" i="9" s="1"/>
  <c r="G37" i="9" s="1"/>
  <c r="F9" i="9"/>
  <c r="E9" i="9"/>
  <c r="D9" i="9"/>
  <c r="D10" i="9" s="1"/>
  <c r="D11" i="9" s="1"/>
  <c r="D15" i="9" s="1"/>
  <c r="D16" i="9" s="1"/>
  <c r="D37" i="9" s="1"/>
  <c r="C9" i="9"/>
  <c r="C10" i="9" s="1"/>
  <c r="C11" i="9" s="1"/>
  <c r="C15" i="9" s="1"/>
  <c r="C16" i="9" s="1"/>
  <c r="C37" i="9" s="1"/>
  <c r="B9" i="9"/>
  <c r="H8" i="9"/>
  <c r="H7" i="9"/>
  <c r="B10" i="8"/>
  <c r="B11" i="8" s="1"/>
  <c r="G9" i="8"/>
  <c r="G10" i="8" s="1"/>
  <c r="G11" i="8" s="1"/>
  <c r="E9" i="8"/>
  <c r="E10" i="8" s="1"/>
  <c r="E11" i="8" s="1"/>
  <c r="C9" i="8"/>
  <c r="C10" i="8" s="1"/>
  <c r="B9" i="8"/>
  <c r="F8" i="8"/>
  <c r="F9" i="8" s="1"/>
  <c r="F10" i="8" s="1"/>
  <c r="F11" i="8" s="1"/>
  <c r="D8" i="8"/>
  <c r="H8" i="8" s="1"/>
  <c r="H7" i="8"/>
  <c r="G26" i="7"/>
  <c r="F26" i="7"/>
  <c r="E26" i="7"/>
  <c r="D26" i="7"/>
  <c r="H26" i="7" s="1"/>
  <c r="C26" i="7"/>
  <c r="B26" i="7"/>
  <c r="E25" i="7"/>
  <c r="H25" i="7" s="1"/>
  <c r="G24" i="7"/>
  <c r="H24" i="7" s="1"/>
  <c r="F23" i="7"/>
  <c r="H23" i="7" s="1"/>
  <c r="G22" i="7"/>
  <c r="H22" i="7" s="1"/>
  <c r="F21" i="7"/>
  <c r="H21" i="7" s="1"/>
  <c r="D21" i="7"/>
  <c r="G20" i="7"/>
  <c r="F20" i="7"/>
  <c r="E20" i="7"/>
  <c r="D20" i="7"/>
  <c r="C20" i="7"/>
  <c r="B20" i="7"/>
  <c r="H20" i="7" s="1"/>
  <c r="G19" i="7"/>
  <c r="G27" i="7" s="1"/>
  <c r="G28" i="7" s="1"/>
  <c r="F19" i="7"/>
  <c r="F27" i="7" s="1"/>
  <c r="F28" i="7" s="1"/>
  <c r="E19" i="7"/>
  <c r="E27" i="7" s="1"/>
  <c r="E28" i="7" s="1"/>
  <c r="D19" i="7"/>
  <c r="D27" i="7" s="1"/>
  <c r="D28" i="7" s="1"/>
  <c r="C19" i="7"/>
  <c r="C27" i="7" s="1"/>
  <c r="C28" i="7" s="1"/>
  <c r="B19" i="7"/>
  <c r="H19" i="7" s="1"/>
  <c r="H18" i="7"/>
  <c r="G14" i="7"/>
  <c r="F14" i="7"/>
  <c r="E14" i="7"/>
  <c r="D14" i="7"/>
  <c r="C14" i="7"/>
  <c r="H14" i="7" s="1"/>
  <c r="B14" i="7"/>
  <c r="H13" i="7"/>
  <c r="H12" i="7"/>
  <c r="E11" i="7"/>
  <c r="E15" i="7" s="1"/>
  <c r="E16" i="7" s="1"/>
  <c r="E29" i="7" s="1"/>
  <c r="D11" i="7"/>
  <c r="D15" i="7" s="1"/>
  <c r="D16" i="7" s="1"/>
  <c r="D29" i="7" s="1"/>
  <c r="G10" i="7"/>
  <c r="G11" i="7" s="1"/>
  <c r="G15" i="7" s="1"/>
  <c r="G16" i="7" s="1"/>
  <c r="G29" i="7" s="1"/>
  <c r="E10" i="7"/>
  <c r="D10" i="7"/>
  <c r="C10" i="7"/>
  <c r="C11" i="7" s="1"/>
  <c r="C15" i="7" s="1"/>
  <c r="C16" i="7" s="1"/>
  <c r="C29" i="7" s="1"/>
  <c r="G9" i="7"/>
  <c r="F9" i="7"/>
  <c r="F10" i="7" s="1"/>
  <c r="F11" i="7" s="1"/>
  <c r="F15" i="7" s="1"/>
  <c r="F16" i="7" s="1"/>
  <c r="E9" i="7"/>
  <c r="D9" i="7"/>
  <c r="C9" i="7"/>
  <c r="B9" i="7"/>
  <c r="B10" i="7" s="1"/>
  <c r="H8" i="7"/>
  <c r="H7" i="7"/>
  <c r="L37" i="6"/>
  <c r="H37" i="6"/>
  <c r="D37" i="6"/>
  <c r="L36" i="6"/>
  <c r="H36" i="6"/>
  <c r="D36" i="6"/>
  <c r="N35" i="6"/>
  <c r="G35" i="6"/>
  <c r="N34" i="6"/>
  <c r="N33" i="6"/>
  <c r="N32" i="6"/>
  <c r="N31" i="6"/>
  <c r="N30" i="6"/>
  <c r="N29" i="6"/>
  <c r="N28" i="6"/>
  <c r="N27" i="6"/>
  <c r="N26" i="6"/>
  <c r="N25" i="6"/>
  <c r="M24" i="6"/>
  <c r="M36" i="6" s="1"/>
  <c r="M37" i="6" s="1"/>
  <c r="L24" i="6"/>
  <c r="K24" i="6"/>
  <c r="K36" i="6" s="1"/>
  <c r="K37" i="6" s="1"/>
  <c r="J24" i="6"/>
  <c r="J36" i="6" s="1"/>
  <c r="J37" i="6" s="1"/>
  <c r="I24" i="6"/>
  <c r="I36" i="6" s="1"/>
  <c r="I37" i="6" s="1"/>
  <c r="H24" i="6"/>
  <c r="G24" i="6"/>
  <c r="F24" i="6"/>
  <c r="E24" i="6"/>
  <c r="E36" i="6" s="1"/>
  <c r="E37" i="6" s="1"/>
  <c r="D24" i="6"/>
  <c r="C24" i="6"/>
  <c r="B24" i="6"/>
  <c r="N24" i="6" s="1"/>
  <c r="N23" i="6"/>
  <c r="N21" i="6"/>
  <c r="N20" i="6"/>
  <c r="C19" i="6"/>
  <c r="C36" i="6" s="1"/>
  <c r="C37" i="6" s="1"/>
  <c r="N18" i="6"/>
  <c r="G17" i="6"/>
  <c r="G36" i="6" s="1"/>
  <c r="G37" i="6" s="1"/>
  <c r="F17" i="6"/>
  <c r="F36" i="6" s="1"/>
  <c r="F37" i="6" s="1"/>
  <c r="B17" i="6"/>
  <c r="B36" i="6" s="1"/>
  <c r="N16" i="6"/>
  <c r="K11" i="6"/>
  <c r="K13" i="6" s="1"/>
  <c r="K14" i="6" s="1"/>
  <c r="K38" i="6" s="1"/>
  <c r="G11" i="6"/>
  <c r="G13" i="6" s="1"/>
  <c r="G14" i="6" s="1"/>
  <c r="C11" i="6"/>
  <c r="C13" i="6" s="1"/>
  <c r="C14" i="6" s="1"/>
  <c r="C38" i="6" s="1"/>
  <c r="M10" i="6"/>
  <c r="M11" i="6" s="1"/>
  <c r="M13" i="6" s="1"/>
  <c r="M14" i="6" s="1"/>
  <c r="M38" i="6" s="1"/>
  <c r="L10" i="6"/>
  <c r="L11" i="6" s="1"/>
  <c r="L13" i="6" s="1"/>
  <c r="L14" i="6" s="1"/>
  <c r="L38" i="6" s="1"/>
  <c r="K10" i="6"/>
  <c r="J10" i="6"/>
  <c r="J11" i="6" s="1"/>
  <c r="J13" i="6" s="1"/>
  <c r="J14" i="6" s="1"/>
  <c r="J38" i="6" s="1"/>
  <c r="I10" i="6"/>
  <c r="I11" i="6" s="1"/>
  <c r="I13" i="6" s="1"/>
  <c r="I14" i="6" s="1"/>
  <c r="I38" i="6" s="1"/>
  <c r="H10" i="6"/>
  <c r="H11" i="6" s="1"/>
  <c r="H13" i="6" s="1"/>
  <c r="H14" i="6" s="1"/>
  <c r="H38" i="6" s="1"/>
  <c r="G10" i="6"/>
  <c r="F10" i="6"/>
  <c r="F11" i="6" s="1"/>
  <c r="F13" i="6" s="1"/>
  <c r="F14" i="6" s="1"/>
  <c r="F38" i="6" s="1"/>
  <c r="E10" i="6"/>
  <c r="E11" i="6" s="1"/>
  <c r="E13" i="6" s="1"/>
  <c r="E14" i="6" s="1"/>
  <c r="E38" i="6" s="1"/>
  <c r="D10" i="6"/>
  <c r="D11" i="6" s="1"/>
  <c r="D13" i="6" s="1"/>
  <c r="D14" i="6" s="1"/>
  <c r="D38" i="6" s="1"/>
  <c r="C10" i="6"/>
  <c r="B9" i="6"/>
  <c r="N9" i="6" s="1"/>
  <c r="A3" i="6"/>
  <c r="G14" i="5"/>
  <c r="G15" i="5" s="1"/>
  <c r="G16" i="5" s="1"/>
  <c r="E14" i="5"/>
  <c r="E15" i="5" s="1"/>
  <c r="E16" i="5" s="1"/>
  <c r="H13" i="5"/>
  <c r="F13" i="5"/>
  <c r="G12" i="5"/>
  <c r="F12" i="5"/>
  <c r="E12" i="5"/>
  <c r="B12" i="5"/>
  <c r="D11" i="5"/>
  <c r="H11" i="5" s="1"/>
  <c r="C10" i="5"/>
  <c r="C12" i="5" s="1"/>
  <c r="H9" i="5"/>
  <c r="G8" i="5"/>
  <c r="F8" i="5"/>
  <c r="F14" i="5" s="1"/>
  <c r="F15" i="5" s="1"/>
  <c r="F16" i="5" s="1"/>
  <c r="E8" i="5"/>
  <c r="D8" i="5"/>
  <c r="C8" i="5"/>
  <c r="B8" i="5"/>
  <c r="B14" i="5" s="1"/>
  <c r="H7" i="5"/>
  <c r="H25" i="3"/>
  <c r="F33" i="2"/>
  <c r="H25" i="2"/>
  <c r="F31" i="1"/>
  <c r="F23" i="1"/>
  <c r="H23" i="1"/>
  <c r="G12" i="4"/>
  <c r="G13" i="4" s="1"/>
  <c r="G14" i="4" s="1"/>
  <c r="C12" i="4"/>
  <c r="C13" i="4" s="1"/>
  <c r="C14" i="4" s="1"/>
  <c r="F11" i="4"/>
  <c r="H11" i="4" s="1"/>
  <c r="G10" i="4"/>
  <c r="F10" i="4"/>
  <c r="F12" i="4" s="1"/>
  <c r="F13" i="4" s="1"/>
  <c r="F14" i="4" s="1"/>
  <c r="E10" i="4"/>
  <c r="E12" i="4" s="1"/>
  <c r="E13" i="4" s="1"/>
  <c r="E14" i="4" s="1"/>
  <c r="C10" i="4"/>
  <c r="B10" i="4"/>
  <c r="B12" i="4" s="1"/>
  <c r="D9" i="4"/>
  <c r="H9" i="4" s="1"/>
  <c r="H8" i="4"/>
  <c r="H7" i="4"/>
  <c r="G33" i="3"/>
  <c r="F33" i="3"/>
  <c r="E33" i="3"/>
  <c r="D33" i="3"/>
  <c r="C33" i="3"/>
  <c r="B33" i="3"/>
  <c r="H33" i="3" s="1"/>
  <c r="E32" i="3"/>
  <c r="H32" i="3" s="1"/>
  <c r="G31" i="3"/>
  <c r="H31" i="3" s="1"/>
  <c r="D30" i="3"/>
  <c r="H30" i="3" s="1"/>
  <c r="F29" i="3"/>
  <c r="H29" i="3" s="1"/>
  <c r="G28" i="3"/>
  <c r="H28" i="3" s="1"/>
  <c r="G27" i="3"/>
  <c r="H27" i="3" s="1"/>
  <c r="F26" i="3"/>
  <c r="D26" i="3"/>
  <c r="H26" i="3" s="1"/>
  <c r="F24" i="3"/>
  <c r="E24" i="3"/>
  <c r="D24" i="3"/>
  <c r="C24" i="3"/>
  <c r="B24" i="3"/>
  <c r="G23" i="3"/>
  <c r="G24" i="3" s="1"/>
  <c r="H22" i="3"/>
  <c r="G21" i="3"/>
  <c r="F21" i="3"/>
  <c r="E21" i="3"/>
  <c r="D21" i="3"/>
  <c r="C21" i="3"/>
  <c r="B21" i="3"/>
  <c r="G20" i="3"/>
  <c r="F20" i="3"/>
  <c r="E20" i="3"/>
  <c r="D20" i="3"/>
  <c r="C20" i="3"/>
  <c r="B20" i="3"/>
  <c r="G19" i="3"/>
  <c r="F19" i="3"/>
  <c r="F34" i="3" s="1"/>
  <c r="E19" i="3"/>
  <c r="D19" i="3"/>
  <c r="C19" i="3"/>
  <c r="C34" i="3" s="1"/>
  <c r="C35" i="3" s="1"/>
  <c r="B19" i="3"/>
  <c r="H18" i="3"/>
  <c r="G14" i="3"/>
  <c r="F14" i="3"/>
  <c r="D14" i="3"/>
  <c r="C14" i="3"/>
  <c r="B14" i="3"/>
  <c r="E14" i="3"/>
  <c r="H13" i="3"/>
  <c r="H12" i="3"/>
  <c r="D10" i="3"/>
  <c r="D11" i="3" s="1"/>
  <c r="G9" i="3"/>
  <c r="G10" i="3" s="1"/>
  <c r="G11" i="3" s="1"/>
  <c r="F9" i="3"/>
  <c r="F10" i="3" s="1"/>
  <c r="F11" i="3" s="1"/>
  <c r="E9" i="3"/>
  <c r="E10" i="3" s="1"/>
  <c r="E11" i="3" s="1"/>
  <c r="E15" i="3" s="1"/>
  <c r="E16" i="3" s="1"/>
  <c r="D9" i="3"/>
  <c r="C9" i="3"/>
  <c r="C10" i="3" s="1"/>
  <c r="B9" i="3"/>
  <c r="B10" i="3" s="1"/>
  <c r="B11" i="3" s="1"/>
  <c r="B15" i="3" s="1"/>
  <c r="H8" i="3"/>
  <c r="H7" i="3"/>
  <c r="G32" i="2"/>
  <c r="F32" i="2"/>
  <c r="E32" i="2"/>
  <c r="D32" i="2"/>
  <c r="C32" i="2"/>
  <c r="B32" i="2"/>
  <c r="H32" i="2" s="1"/>
  <c r="E31" i="2"/>
  <c r="H31" i="2" s="1"/>
  <c r="G30" i="2"/>
  <c r="H30" i="2" s="1"/>
  <c r="D29" i="2"/>
  <c r="H29" i="2" s="1"/>
  <c r="F28" i="2"/>
  <c r="H28" i="2" s="1"/>
  <c r="G27" i="2"/>
  <c r="H27" i="2" s="1"/>
  <c r="F26" i="2"/>
  <c r="D26" i="2"/>
  <c r="H26" i="2" s="1"/>
  <c r="F24" i="2"/>
  <c r="E24" i="2"/>
  <c r="D24" i="2"/>
  <c r="C24" i="2"/>
  <c r="B24" i="2"/>
  <c r="G23" i="2"/>
  <c r="H23" i="2" s="1"/>
  <c r="H22" i="2"/>
  <c r="G21" i="2"/>
  <c r="F21" i="2"/>
  <c r="E21" i="2"/>
  <c r="D21" i="2"/>
  <c r="H21" i="2" s="1"/>
  <c r="C21" i="2"/>
  <c r="B21" i="2"/>
  <c r="G20" i="2"/>
  <c r="F20" i="2"/>
  <c r="E20" i="2"/>
  <c r="D20" i="2"/>
  <c r="C20" i="2"/>
  <c r="C33" i="2" s="1"/>
  <c r="C34" i="2" s="1"/>
  <c r="B20" i="2"/>
  <c r="H20" i="2" s="1"/>
  <c r="G19" i="2"/>
  <c r="F19" i="2"/>
  <c r="F34" i="2" s="1"/>
  <c r="E19" i="2"/>
  <c r="E33" i="2" s="1"/>
  <c r="E34" i="2" s="1"/>
  <c r="D19" i="2"/>
  <c r="D33" i="2" s="1"/>
  <c r="D34" i="2" s="1"/>
  <c r="C19" i="2"/>
  <c r="B19" i="2"/>
  <c r="B33" i="2" s="1"/>
  <c r="H18" i="2"/>
  <c r="F14" i="2"/>
  <c r="D14" i="2"/>
  <c r="B14" i="2"/>
  <c r="G14" i="2"/>
  <c r="E14" i="2"/>
  <c r="C14" i="2"/>
  <c r="H13" i="2"/>
  <c r="H12" i="2"/>
  <c r="F10" i="2"/>
  <c r="F11" i="2" s="1"/>
  <c r="F15" i="2" s="1"/>
  <c r="F16" i="2" s="1"/>
  <c r="D10" i="2"/>
  <c r="D11" i="2" s="1"/>
  <c r="D15" i="2" s="1"/>
  <c r="D16" i="2" s="1"/>
  <c r="B10" i="2"/>
  <c r="B11" i="2" s="1"/>
  <c r="G9" i="2"/>
  <c r="G10" i="2" s="1"/>
  <c r="G11" i="2" s="1"/>
  <c r="F9" i="2"/>
  <c r="E9" i="2"/>
  <c r="E10" i="2" s="1"/>
  <c r="E11" i="2" s="1"/>
  <c r="E15" i="2" s="1"/>
  <c r="E16" i="2" s="1"/>
  <c r="E35" i="2" s="1"/>
  <c r="D9" i="2"/>
  <c r="C9" i="2"/>
  <c r="C10" i="2" s="1"/>
  <c r="C11" i="2" s="1"/>
  <c r="B9" i="2"/>
  <c r="H9" i="2" s="1"/>
  <c r="H8" i="2"/>
  <c r="H7" i="2"/>
  <c r="G30" i="1"/>
  <c r="F30" i="1"/>
  <c r="E30" i="1"/>
  <c r="D30" i="1"/>
  <c r="C30" i="1"/>
  <c r="H30" i="1" s="1"/>
  <c r="B30" i="1"/>
  <c r="E29" i="1"/>
  <c r="H29" i="1" s="1"/>
  <c r="H28" i="1"/>
  <c r="G28" i="1"/>
  <c r="F27" i="1"/>
  <c r="H27" i="1" s="1"/>
  <c r="H26" i="1"/>
  <c r="F26" i="1"/>
  <c r="E26" i="1"/>
  <c r="D26" i="1"/>
  <c r="H25" i="1"/>
  <c r="G25" i="1"/>
  <c r="F24" i="1"/>
  <c r="D24" i="1"/>
  <c r="H24" i="1" s="1"/>
  <c r="G22" i="1"/>
  <c r="F22" i="1"/>
  <c r="E22" i="1"/>
  <c r="D22" i="1"/>
  <c r="C22" i="1"/>
  <c r="B22" i="1"/>
  <c r="H22" i="1" s="1"/>
  <c r="H21" i="1"/>
  <c r="G21" i="1"/>
  <c r="H20" i="1"/>
  <c r="E19" i="1"/>
  <c r="H19" i="1" s="1"/>
  <c r="G18" i="1"/>
  <c r="F18" i="1"/>
  <c r="E18" i="1"/>
  <c r="D18" i="1"/>
  <c r="C18" i="1"/>
  <c r="B18" i="1"/>
  <c r="H18" i="1" s="1"/>
  <c r="H17" i="1"/>
  <c r="G17" i="1"/>
  <c r="F17" i="1"/>
  <c r="E17" i="1"/>
  <c r="E31" i="1" s="1"/>
  <c r="E32" i="1" s="1"/>
  <c r="D17" i="1"/>
  <c r="C17" i="1"/>
  <c r="B17" i="1"/>
  <c r="B31" i="1" s="1"/>
  <c r="G16" i="1"/>
  <c r="G31" i="1" s="1"/>
  <c r="G32" i="1" s="1"/>
  <c r="F16" i="1"/>
  <c r="E16" i="1"/>
  <c r="D16" i="1"/>
  <c r="D31" i="1" s="1"/>
  <c r="D32" i="1" s="1"/>
  <c r="C16" i="1"/>
  <c r="H16" i="1" s="1"/>
  <c r="B16" i="1"/>
  <c r="H15" i="1"/>
  <c r="F12" i="1"/>
  <c r="F13" i="1" s="1"/>
  <c r="B12" i="1"/>
  <c r="B13" i="1" s="1"/>
  <c r="F11" i="1"/>
  <c r="E11" i="1"/>
  <c r="E12" i="1" s="1"/>
  <c r="E13" i="1" s="1"/>
  <c r="E33" i="1" s="1"/>
  <c r="B11" i="1"/>
  <c r="F10" i="1"/>
  <c r="E10" i="1"/>
  <c r="D10" i="1"/>
  <c r="D11" i="1" s="1"/>
  <c r="D12" i="1" s="1"/>
  <c r="D13" i="1" s="1"/>
  <c r="D33" i="1" s="1"/>
  <c r="B10" i="1"/>
  <c r="G9" i="1"/>
  <c r="G10" i="1" s="1"/>
  <c r="G11" i="1" s="1"/>
  <c r="G12" i="1" s="1"/>
  <c r="G13" i="1" s="1"/>
  <c r="G33" i="1" s="1"/>
  <c r="F9" i="1"/>
  <c r="E9" i="1"/>
  <c r="D9" i="1"/>
  <c r="C9" i="1"/>
  <c r="H9" i="1" s="1"/>
  <c r="B9" i="1"/>
  <c r="H8" i="1"/>
  <c r="H7" i="1"/>
  <c r="B16" i="20" l="1"/>
  <c r="H16" i="20" s="1"/>
  <c r="H15" i="20"/>
  <c r="H10" i="20"/>
  <c r="H14" i="20"/>
  <c r="G15" i="16"/>
  <c r="G16" i="16" s="1"/>
  <c r="H20" i="16"/>
  <c r="B30" i="16"/>
  <c r="H28" i="16"/>
  <c r="H21" i="16"/>
  <c r="E15" i="16"/>
  <c r="E16" i="16" s="1"/>
  <c r="D15" i="16"/>
  <c r="D16" i="16" s="1"/>
  <c r="C15" i="16"/>
  <c r="C16" i="16" s="1"/>
  <c r="H14" i="16"/>
  <c r="B15" i="16"/>
  <c r="B16" i="16" s="1"/>
  <c r="G15" i="17"/>
  <c r="G16" i="17" s="1"/>
  <c r="D15" i="17"/>
  <c r="D16" i="17" s="1"/>
  <c r="D29" i="17" s="1"/>
  <c r="E29" i="17"/>
  <c r="H14" i="17"/>
  <c r="B28" i="17"/>
  <c r="H28" i="17" s="1"/>
  <c r="B11" i="17"/>
  <c r="H10" i="17"/>
  <c r="F29" i="17"/>
  <c r="G29" i="17"/>
  <c r="H9" i="17"/>
  <c r="C27" i="17"/>
  <c r="C28" i="17" s="1"/>
  <c r="C29" i="17" s="1"/>
  <c r="F15" i="16"/>
  <c r="F16" i="16" s="1"/>
  <c r="H10" i="16"/>
  <c r="H9" i="16"/>
  <c r="H25" i="16"/>
  <c r="H11" i="16"/>
  <c r="H13" i="16"/>
  <c r="H19" i="16"/>
  <c r="E21" i="15"/>
  <c r="I21" i="15"/>
  <c r="M21" i="15"/>
  <c r="F21" i="15"/>
  <c r="J21" i="15"/>
  <c r="N8" i="15"/>
  <c r="B20" i="15"/>
  <c r="N20" i="15" s="1"/>
  <c r="G15" i="14"/>
  <c r="G16" i="14" s="1"/>
  <c r="H14" i="14"/>
  <c r="D15" i="14"/>
  <c r="D16" i="14" s="1"/>
  <c r="H10" i="14"/>
  <c r="G34" i="14"/>
  <c r="B16" i="14"/>
  <c r="H15" i="14"/>
  <c r="B33" i="14"/>
  <c r="E34" i="14"/>
  <c r="H11" i="14"/>
  <c r="H13" i="14"/>
  <c r="H9" i="14"/>
  <c r="D23" i="14"/>
  <c r="G32" i="14"/>
  <c r="G33" i="14" s="1"/>
  <c r="H19" i="14"/>
  <c r="B15" i="13"/>
  <c r="H11" i="13"/>
  <c r="C15" i="13"/>
  <c r="C16" i="13" s="1"/>
  <c r="C27" i="13" s="1"/>
  <c r="B26" i="13"/>
  <c r="G25" i="13"/>
  <c r="G26" i="13" s="1"/>
  <c r="G27" i="13" s="1"/>
  <c r="H10" i="13"/>
  <c r="H19" i="13"/>
  <c r="E25" i="13"/>
  <c r="E26" i="13" s="1"/>
  <c r="E27" i="13" s="1"/>
  <c r="H14" i="12"/>
  <c r="B11" i="12"/>
  <c r="H10" i="12"/>
  <c r="G26" i="12"/>
  <c r="C26" i="12"/>
  <c r="D15" i="12"/>
  <c r="D16" i="12" s="1"/>
  <c r="D26" i="12" s="1"/>
  <c r="B25" i="12"/>
  <c r="H25" i="12" s="1"/>
  <c r="H21" i="12"/>
  <c r="H13" i="12"/>
  <c r="H9" i="12"/>
  <c r="H23" i="12"/>
  <c r="E24" i="12"/>
  <c r="E25" i="12" s="1"/>
  <c r="E26" i="12" s="1"/>
  <c r="H19" i="12"/>
  <c r="C11" i="11"/>
  <c r="C16" i="11" s="1"/>
  <c r="C17" i="11" s="1"/>
  <c r="H10" i="11"/>
  <c r="H11" i="11"/>
  <c r="H15" i="11"/>
  <c r="B34" i="11"/>
  <c r="E16" i="11"/>
  <c r="E17" i="11" s="1"/>
  <c r="E35" i="11" s="1"/>
  <c r="F16" i="11"/>
  <c r="F17" i="11" s="1"/>
  <c r="F35" i="11" s="1"/>
  <c r="H21" i="11"/>
  <c r="C33" i="11"/>
  <c r="C34" i="11" s="1"/>
  <c r="H9" i="11"/>
  <c r="H20" i="11"/>
  <c r="B16" i="11"/>
  <c r="H13" i="11"/>
  <c r="B11" i="10"/>
  <c r="H10" i="10"/>
  <c r="D35" i="10"/>
  <c r="H14" i="10"/>
  <c r="H33" i="10"/>
  <c r="B34" i="10"/>
  <c r="H34" i="10" s="1"/>
  <c r="H24" i="10"/>
  <c r="H23" i="10"/>
  <c r="H9" i="10"/>
  <c r="H13" i="10"/>
  <c r="H19" i="10"/>
  <c r="H15" i="9"/>
  <c r="B16" i="9"/>
  <c r="H10" i="9"/>
  <c r="B36" i="9"/>
  <c r="H36" i="9" s="1"/>
  <c r="H35" i="9"/>
  <c r="H24" i="9"/>
  <c r="H23" i="9"/>
  <c r="H11" i="9"/>
  <c r="H13" i="9"/>
  <c r="H9" i="9"/>
  <c r="C11" i="8"/>
  <c r="D9" i="8"/>
  <c r="D10" i="8" s="1"/>
  <c r="D11" i="8" s="1"/>
  <c r="H11" i="8" s="1"/>
  <c r="B11" i="7"/>
  <c r="H10" i="7"/>
  <c r="F29" i="7"/>
  <c r="B27" i="7"/>
  <c r="H9" i="7"/>
  <c r="B37" i="6"/>
  <c r="N37" i="6" s="1"/>
  <c r="N36" i="6"/>
  <c r="G38" i="6"/>
  <c r="B10" i="6"/>
  <c r="N17" i="6"/>
  <c r="N19" i="6"/>
  <c r="C14" i="5"/>
  <c r="C15" i="5" s="1"/>
  <c r="C16" i="5" s="1"/>
  <c r="B15" i="5"/>
  <c r="H8" i="5"/>
  <c r="D12" i="5"/>
  <c r="D14" i="5" s="1"/>
  <c r="D15" i="5" s="1"/>
  <c r="D16" i="5" s="1"/>
  <c r="H10" i="5"/>
  <c r="D34" i="3"/>
  <c r="D35" i="3" s="1"/>
  <c r="H20" i="3"/>
  <c r="H24" i="3"/>
  <c r="G15" i="3"/>
  <c r="G16" i="3" s="1"/>
  <c r="E34" i="3"/>
  <c r="E35" i="3" s="1"/>
  <c r="E36" i="3" s="1"/>
  <c r="G34" i="3"/>
  <c r="G35" i="3" s="1"/>
  <c r="B34" i="3"/>
  <c r="B35" i="3" s="1"/>
  <c r="H35" i="3" s="1"/>
  <c r="H21" i="3"/>
  <c r="F35" i="3"/>
  <c r="F35" i="2"/>
  <c r="F32" i="1"/>
  <c r="F33" i="1" s="1"/>
  <c r="B13" i="4"/>
  <c r="D10" i="4"/>
  <c r="D15" i="3"/>
  <c r="D16" i="3" s="1"/>
  <c r="F15" i="3"/>
  <c r="F16" i="3" s="1"/>
  <c r="H14" i="3"/>
  <c r="H14" i="2"/>
  <c r="B16" i="3"/>
  <c r="F36" i="3"/>
  <c r="C11" i="3"/>
  <c r="C15" i="3" s="1"/>
  <c r="C16" i="3" s="1"/>
  <c r="C36" i="3" s="1"/>
  <c r="H10" i="3"/>
  <c r="H19" i="3"/>
  <c r="H9" i="3"/>
  <c r="H23" i="3"/>
  <c r="H11" i="3"/>
  <c r="B15" i="2"/>
  <c r="H11" i="2"/>
  <c r="D35" i="2"/>
  <c r="G33" i="2"/>
  <c r="G34" i="2" s="1"/>
  <c r="B34" i="2"/>
  <c r="H24" i="2"/>
  <c r="C15" i="2"/>
  <c r="C16" i="2" s="1"/>
  <c r="C35" i="2" s="1"/>
  <c r="G15" i="2"/>
  <c r="G16" i="2" s="1"/>
  <c r="G24" i="2"/>
  <c r="H10" i="2"/>
  <c r="H19" i="2"/>
  <c r="B32" i="1"/>
  <c r="C10" i="1"/>
  <c r="C31" i="1"/>
  <c r="C32" i="1" s="1"/>
  <c r="B15" i="17" l="1"/>
  <c r="H11" i="17"/>
  <c r="H27" i="17"/>
  <c r="H16" i="16"/>
  <c r="B31" i="16"/>
  <c r="H31" i="16" s="1"/>
  <c r="H29" i="16"/>
  <c r="H15" i="16"/>
  <c r="H30" i="16"/>
  <c r="B21" i="15"/>
  <c r="N21" i="15" s="1"/>
  <c r="H23" i="14"/>
  <c r="D32" i="14"/>
  <c r="H16" i="14"/>
  <c r="B34" i="14"/>
  <c r="H26" i="13"/>
  <c r="H25" i="13"/>
  <c r="H15" i="13"/>
  <c r="B16" i="13"/>
  <c r="H11" i="12"/>
  <c r="B15" i="12"/>
  <c r="H24" i="12"/>
  <c r="H33" i="11"/>
  <c r="B17" i="11"/>
  <c r="H16" i="11"/>
  <c r="H34" i="11"/>
  <c r="C35" i="11"/>
  <c r="B15" i="10"/>
  <c r="H11" i="10"/>
  <c r="H16" i="9"/>
  <c r="B37" i="9"/>
  <c r="H37" i="9" s="1"/>
  <c r="H10" i="8"/>
  <c r="H9" i="8"/>
  <c r="H27" i="7"/>
  <c r="B28" i="7"/>
  <c r="H28" i="7" s="1"/>
  <c r="B15" i="7"/>
  <c r="H11" i="7"/>
  <c r="B11" i="6"/>
  <c r="N10" i="6"/>
  <c r="B16" i="5"/>
  <c r="H16" i="5" s="1"/>
  <c r="H15" i="5"/>
  <c r="H12" i="5"/>
  <c r="H14" i="5"/>
  <c r="H34" i="3"/>
  <c r="D36" i="3"/>
  <c r="G36" i="3"/>
  <c r="H10" i="4"/>
  <c r="D12" i="4"/>
  <c r="B14" i="4"/>
  <c r="H15" i="3"/>
  <c r="B36" i="3"/>
  <c r="H36" i="3" s="1"/>
  <c r="H16" i="3"/>
  <c r="H33" i="2"/>
  <c r="G35" i="2"/>
  <c r="H34" i="2"/>
  <c r="H15" i="2"/>
  <c r="B16" i="2"/>
  <c r="H10" i="1"/>
  <c r="C11" i="1"/>
  <c r="H32" i="1"/>
  <c r="H31" i="1"/>
  <c r="B33" i="1"/>
  <c r="B16" i="17" l="1"/>
  <c r="H15" i="17"/>
  <c r="D33" i="14"/>
  <c r="H32" i="14"/>
  <c r="H16" i="13"/>
  <c r="B27" i="13"/>
  <c r="H27" i="13" s="1"/>
  <c r="B16" i="12"/>
  <c r="H15" i="12"/>
  <c r="H17" i="11"/>
  <c r="B35" i="11"/>
  <c r="H35" i="11" s="1"/>
  <c r="B16" i="10"/>
  <c r="H15" i="10"/>
  <c r="B16" i="7"/>
  <c r="H15" i="7"/>
  <c r="B13" i="6"/>
  <c r="N11" i="6"/>
  <c r="D13" i="4"/>
  <c r="H12" i="4"/>
  <c r="H16" i="2"/>
  <c r="B35" i="2"/>
  <c r="H35" i="2" s="1"/>
  <c r="C12" i="1"/>
  <c r="H11" i="1"/>
  <c r="B29" i="17" l="1"/>
  <c r="H29" i="17" s="1"/>
  <c r="H16" i="17"/>
  <c r="D34" i="14"/>
  <c r="H34" i="14" s="1"/>
  <c r="H33" i="14"/>
  <c r="H16" i="12"/>
  <c r="B26" i="12"/>
  <c r="H26" i="12" s="1"/>
  <c r="H16" i="10"/>
  <c r="B35" i="10"/>
  <c r="H35" i="10" s="1"/>
  <c r="B29" i="7"/>
  <c r="H29" i="7" s="1"/>
  <c r="H16" i="7"/>
  <c r="N13" i="6"/>
  <c r="B14" i="6"/>
  <c r="D14" i="4"/>
  <c r="H14" i="4" s="1"/>
  <c r="H13" i="4"/>
  <c r="C13" i="1"/>
  <c r="H12" i="1"/>
  <c r="B38" i="6" l="1"/>
  <c r="N38" i="6" s="1"/>
  <c r="N14" i="6"/>
  <c r="C33" i="1"/>
  <c r="H33" i="1" s="1"/>
  <c r="H13" i="1"/>
</calcChain>
</file>

<file path=xl/sharedStrings.xml><?xml version="1.0" encoding="utf-8"?>
<sst xmlns="http://schemas.openxmlformats.org/spreadsheetml/2006/main" count="993" uniqueCount="156">
  <si>
    <t>Avalon Energy Ltd.</t>
  </si>
  <si>
    <t>100/01-30-009-07W4</t>
  </si>
  <si>
    <t>January - June, 2019</t>
  </si>
  <si>
    <t>Jan 2019</t>
  </si>
  <si>
    <t>Feb 2019</t>
  </si>
  <si>
    <t>Mar 2019</t>
  </si>
  <si>
    <t>Apr 2019</t>
  </si>
  <si>
    <t>May 2019</t>
  </si>
  <si>
    <t>Jun 2019</t>
  </si>
  <si>
    <t>Total</t>
  </si>
  <si>
    <t xml:space="preserve">   INCOME</t>
  </si>
  <si>
    <t xml:space="preserve">      REVENUE</t>
  </si>
  <si>
    <t xml:space="preserve">         Oil &amp; Gas Sales</t>
  </si>
  <si>
    <t xml:space="preserve">            Oil</t>
  </si>
  <si>
    <t xml:space="preserve">         Total Oil &amp; Gas Sales</t>
  </si>
  <si>
    <t xml:space="preserve">      Total REVENUE</t>
  </si>
  <si>
    <t xml:space="preserve">   Total Income</t>
  </si>
  <si>
    <t>GROSS PROFIT</t>
  </si>
  <si>
    <t>EXPENSES</t>
  </si>
  <si>
    <t xml:space="preserve">   LEASE OPERATING</t>
  </si>
  <si>
    <t xml:space="preserve">      Chemicals</t>
  </si>
  <si>
    <t xml:space="preserve">      Contract Operator and Labour</t>
  </si>
  <si>
    <t xml:space="preserve">      Fuel/Utilities</t>
  </si>
  <si>
    <t xml:space="preserve">      Instrumentation &amp; Computer</t>
  </si>
  <si>
    <t xml:space="preserve">      Lease Rentals</t>
  </si>
  <si>
    <t xml:space="preserve">         FH Surface Rentals</t>
  </si>
  <si>
    <t xml:space="preserve">      Total Lease Rentals</t>
  </si>
  <si>
    <t xml:space="preserve">      Licences/Fees</t>
  </si>
  <si>
    <t xml:space="preserve">      Processing/Treating</t>
  </si>
  <si>
    <t xml:space="preserve">      Repairs/Maintenance</t>
  </si>
  <si>
    <t xml:space="preserve">      Road/Lease</t>
  </si>
  <si>
    <t xml:space="preserve">      Terminalling</t>
  </si>
  <si>
    <t xml:space="preserve">      Testing</t>
  </si>
  <si>
    <t xml:space="preserve">      Trucking</t>
  </si>
  <si>
    <t xml:space="preserve">   Total LEASE OPERATING</t>
  </si>
  <si>
    <t>Total Expenses</t>
  </si>
  <si>
    <t>PROFIT</t>
  </si>
  <si>
    <t>Thursday, Sep 05, 2019 10:31:46 AM GMT-7 - Accrual Basis</t>
  </si>
  <si>
    <t>102/02-30-09-07 W4</t>
  </si>
  <si>
    <t xml:space="preserve">      ROYALTIES EXPENSE</t>
  </si>
  <si>
    <t xml:space="preserve">         Gross Override - Oil</t>
  </si>
  <si>
    <t xml:space="preserve">      Total ROYALTIES EXPENSE</t>
  </si>
  <si>
    <t xml:space="preserve">      Small Parts</t>
  </si>
  <si>
    <t>Thursday, Sep 05, 2019 10:43:32 AM GMT-7 - Accrual Basis</t>
  </si>
  <si>
    <t>100/07-30-009-07 W4</t>
  </si>
  <si>
    <t>Thursday, Sep 05, 2019 10:56:06 AM GMT-7 - Accrual Basis</t>
  </si>
  <si>
    <t>100/12-30-009-07W4</t>
  </si>
  <si>
    <t>Thursday, Sep 05, 2019 10:35:50 AM GMT-7 - Accrual Basis</t>
  </si>
  <si>
    <t xml:space="preserve">      Insurance</t>
  </si>
  <si>
    <t>100/05-30-009-07 W4</t>
  </si>
  <si>
    <t xml:space="preserve">         Crown Surface Rentals</t>
  </si>
  <si>
    <t>Thursday, Sep 05, 2019 11:38:51 AM GMT-7 - Accrual Basis</t>
  </si>
  <si>
    <t>Operating Statement:  FAC 7-36-9-8; INJ 5-31-9-7 W4</t>
  </si>
  <si>
    <t>Income</t>
  </si>
  <si>
    <t xml:space="preserve">   REVENUE</t>
  </si>
  <si>
    <t xml:space="preserve">Water Disposal </t>
  </si>
  <si>
    <t xml:space="preserve">     Water Disposal </t>
  </si>
  <si>
    <t xml:space="preserve">      Total Oil &amp; Gas Sales</t>
  </si>
  <si>
    <t xml:space="preserve">   Total REVENUE</t>
  </si>
  <si>
    <t>Total Income</t>
  </si>
  <si>
    <t>Gross Profit</t>
  </si>
  <si>
    <t xml:space="preserve">      Equipment Rental</t>
  </si>
  <si>
    <t xml:space="preserve">      Property Taxes</t>
  </si>
  <si>
    <t xml:space="preserve">      Safety</t>
  </si>
  <si>
    <t xml:space="preserve">      Supplies</t>
  </si>
  <si>
    <t xml:space="preserve">      Workover</t>
  </si>
  <si>
    <t>Profit</t>
  </si>
  <si>
    <t>100/12-31-009-07 W4</t>
  </si>
  <si>
    <t>Thursday, Sep 05, 2019 11:46:42 AM GMT-7 - Accrual Basis</t>
  </si>
  <si>
    <t>102/12-31-009-07 W4</t>
  </si>
  <si>
    <t>Thursday, Sep 05, 2019 11:52:53 AM GMT-7 - Accrual Basis</t>
  </si>
  <si>
    <t>102/14-31-009-07 W4</t>
  </si>
  <si>
    <t>Thursday, Sep 05, 2019 11:57:00 AM GMT-7 - Accrual Basis</t>
  </si>
  <si>
    <t>103/14-31-009-07 W4</t>
  </si>
  <si>
    <t>Thursday, Sep 05, 2019 12:00:25 PM GMT-7 - Accrual Basis</t>
  </si>
  <si>
    <t xml:space="preserve">102 08-35-009-08 </t>
  </si>
  <si>
    <t xml:space="preserve">         Freehold Royalty-Oil</t>
  </si>
  <si>
    <t>Thursday, Sep 05, 2019 12:09:57 PM GMT-7 - Accrual Basis</t>
  </si>
  <si>
    <t>100 05-36-009-08</t>
  </si>
  <si>
    <t>Thursday, Sep 05, 2019 12:13:37 PM GMT-7 - Accrual Basis</t>
  </si>
  <si>
    <t>102 06-36-009-08</t>
  </si>
  <si>
    <t>Thursday, Sep 05, 2019 12:17:15 PM GMT-7 - Accrual Basis</t>
  </si>
  <si>
    <t>102 08-36-009-08</t>
  </si>
  <si>
    <t>Thursday, Sep 05, 2019 12:21:05 PM GMT-7 - Accrual Basis</t>
  </si>
  <si>
    <t>Operating Statement 100/10-36-009-08 W4 Water Source Well</t>
  </si>
  <si>
    <t>Expenses</t>
  </si>
  <si>
    <t xml:space="preserve"> </t>
  </si>
  <si>
    <t xml:space="preserve">     Property Taxes</t>
  </si>
  <si>
    <t>100 12-36-009-08</t>
  </si>
  <si>
    <t xml:space="preserve">      Special Services</t>
  </si>
  <si>
    <t>Thursday, Sep 05, 2019 12:27:31 PM GMT-7 - Accrual Basis</t>
  </si>
  <si>
    <t>102 12-36-009-08</t>
  </si>
  <si>
    <t>Thursday, Sep 05, 2019 12:30:16 PM GMT-7 - Accrual Basis</t>
  </si>
  <si>
    <t xml:space="preserve">103 15-03-010-10 </t>
  </si>
  <si>
    <t xml:space="preserve">         Crown P&amp;NG Leases</t>
  </si>
  <si>
    <t>Thursday, Sep 05, 2019 12:40:31 PM GMT-7 - Accrual Basis</t>
  </si>
  <si>
    <t>Operating Statement 100/10-07-012-14 W4</t>
  </si>
  <si>
    <t>Net Working Interest 100%</t>
  </si>
  <si>
    <t xml:space="preserve">         Administration</t>
  </si>
  <si>
    <t xml:space="preserve">      Oil &amp; Gas Sales</t>
  </si>
  <si>
    <t xml:space="preserve">         Oil</t>
  </si>
  <si>
    <t xml:space="preserve">   ROYALTIES EXPENSE</t>
  </si>
  <si>
    <t>Crown Royalty</t>
  </si>
  <si>
    <t xml:space="preserve">   Total ROYALTIES EXPENSE</t>
  </si>
  <si>
    <t xml:space="preserve">      Chart Reading</t>
  </si>
  <si>
    <t xml:space="preserve">       Equipment Rental</t>
  </si>
  <si>
    <t xml:space="preserve">         Crown PNG Lease Rental</t>
  </si>
  <si>
    <t>REVENUE  VOLUMES (Net 15%)</t>
  </si>
  <si>
    <t>Oil Sales</t>
  </si>
  <si>
    <t>Bbl</t>
  </si>
  <si>
    <t>Oil Prod (100%)</t>
  </si>
  <si>
    <t>BOD</t>
  </si>
  <si>
    <t>$/Bbl</t>
  </si>
  <si>
    <t>REVENUE</t>
  </si>
  <si>
    <t>$</t>
  </si>
  <si>
    <t>ROYALTIES</t>
  </si>
  <si>
    <t>NET BACK</t>
  </si>
  <si>
    <t>CROWN ROYALTY</t>
  </si>
  <si>
    <t>%</t>
  </si>
  <si>
    <t>FREEHOLD ROYALTY</t>
  </si>
  <si>
    <t>ROYALTY RATE</t>
  </si>
  <si>
    <t>EXPENSES/SALES</t>
  </si>
  <si>
    <t>EXPENSES/NET REV</t>
  </si>
  <si>
    <t>Operating Statement 102/09-30-012-14 W4 &amp; 100/09-30-012-14 W4</t>
  </si>
  <si>
    <t xml:space="preserve">        Crown PNG Lease Rentals</t>
  </si>
  <si>
    <t>100 11-08-012-14</t>
  </si>
  <si>
    <t>Thursday, Sep 05, 2019 12:58:42 PM GMT-7 - Accrual Basis</t>
  </si>
  <si>
    <t>100 06-23-017-22</t>
  </si>
  <si>
    <t xml:space="preserve">      Supervision</t>
  </si>
  <si>
    <t xml:space="preserve">      Workover/Abandon</t>
  </si>
  <si>
    <t>Thursday, Sep 05, 2019 01:01:43 PM GMT-7 - Accrual Basis</t>
  </si>
  <si>
    <t>03-17-018-20</t>
  </si>
  <si>
    <t>Thursday, Sep 05, 2019 01:07:53 PM GMT-7 - Accrual Basis</t>
  </si>
  <si>
    <t>06-18-018-20</t>
  </si>
  <si>
    <t xml:space="preserve">         Aministration</t>
  </si>
  <si>
    <t xml:space="preserve">            Gas</t>
  </si>
  <si>
    <t xml:space="preserve">            NGL's</t>
  </si>
  <si>
    <t xml:space="preserve">         Crown Royalty - Gas</t>
  </si>
  <si>
    <t xml:space="preserve">         Crown Royalty - NGL's</t>
  </si>
  <si>
    <t xml:space="preserve">         Gross Overide - Gas</t>
  </si>
  <si>
    <t xml:space="preserve">      Compression (Gas)</t>
  </si>
  <si>
    <t xml:space="preserve">      Gathering/Processing (gas)</t>
  </si>
  <si>
    <t xml:space="preserve">      Pro/Rev Accounting</t>
  </si>
  <si>
    <t xml:space="preserve">      Water Disposal</t>
  </si>
  <si>
    <t>Thursday, Sep 05, 2019 01:10:12 PM GMT-7 - Accrual Basis</t>
  </si>
  <si>
    <t>16-18-018-20</t>
  </si>
  <si>
    <t>Thursday, Sep 05, 2019 01:14:18 PM GMT-7 - Accrual Basis</t>
  </si>
  <si>
    <t>12-22-018-20</t>
  </si>
  <si>
    <t>Thursday, Sep 05, 2019 01:16:42 PM GMT-7 - Accrual Basis</t>
  </si>
  <si>
    <t>100/12-20-019-18</t>
  </si>
  <si>
    <t>Thursday, Sep 05, 2019 01:18:56 PM GMT-7 - Accrual Basis</t>
  </si>
  <si>
    <t>Operating Statement</t>
  </si>
  <si>
    <t xml:space="preserve">            Water Disposal</t>
  </si>
  <si>
    <t xml:space="preserve">         Crown Royalty - Oil</t>
  </si>
  <si>
    <t>xxx</t>
  </si>
  <si>
    <t>Thursday, Sep 05, 2019 01:29:13 PM GMT-7 - Accrual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</si>
</sst>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_€"/>
    <numFmt numFmtId="165" formatCode="&quot;$&quot;* #,##0.00\ _€"/>
    <numFmt numFmtId="166" formatCode="0.0"/>
    <numFmt numFmtId="167" formatCode="#,##0.0;\-#,##0.0"/>
    <numFmt numFmtId="168" formatCode="0.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</font>
    <font>
      <b/>
      <sz val="10"/>
      <color indexed="8"/>
      <name val="Arial"/>
    </font>
    <font>
      <b/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trike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164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horizontal="right" wrapText="1"/>
    </xf>
    <xf numFmtId="165" fontId="5" fillId="0" borderId="2" xfId="0" applyNumberFormat="1" applyFont="1" applyBorder="1" applyAlignment="1">
      <alignment horizontal="right" wrapText="1"/>
    </xf>
    <xf numFmtId="0" fontId="6" fillId="0" borderId="0" xfId="0" applyFont="1" applyAlignment="1">
      <alignment horizontal="center"/>
    </xf>
    <xf numFmtId="165" fontId="0" fillId="0" borderId="0" xfId="0" applyNumberFormat="1"/>
    <xf numFmtId="165" fontId="5" fillId="0" borderId="0" xfId="0" applyNumberFormat="1" applyFont="1" applyBorder="1" applyAlignment="1">
      <alignment horizontal="right" wrapText="1"/>
    </xf>
    <xf numFmtId="0" fontId="6" fillId="0" borderId="0" xfId="0" applyNumberFormat="1" applyFont="1" applyBorder="1" applyAlignment="1">
      <alignment horizontal="right" wrapText="1"/>
    </xf>
    <xf numFmtId="4" fontId="6" fillId="0" borderId="0" xfId="0" applyNumberFormat="1" applyFont="1" applyBorder="1" applyAlignment="1">
      <alignment horizontal="right" wrapText="1"/>
    </xf>
    <xf numFmtId="17" fontId="4" fillId="0" borderId="1" xfId="0" applyNumberFormat="1" applyFont="1" applyBorder="1" applyAlignment="1">
      <alignment horizontal="center" wrapText="1"/>
    </xf>
    <xf numFmtId="164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165" fontId="5" fillId="0" borderId="0" xfId="0" applyNumberFormat="1" applyFont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0" fontId="1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4" fontId="11" fillId="0" borderId="0" xfId="0" applyNumberFormat="1" applyFont="1" applyAlignment="1">
      <alignment wrapText="1"/>
    </xf>
    <xf numFmtId="164" fontId="11" fillId="0" borderId="0" xfId="0" applyNumberFormat="1" applyFont="1" applyAlignment="1">
      <alignment horizontal="right" wrapText="1"/>
    </xf>
    <xf numFmtId="165" fontId="10" fillId="0" borderId="2" xfId="0" applyNumberFormat="1" applyFont="1" applyBorder="1" applyAlignment="1">
      <alignment horizontal="right" wrapText="1"/>
    </xf>
    <xf numFmtId="0" fontId="11" fillId="0" borderId="0" xfId="0" applyFont="1" applyAlignment="1">
      <alignment horizontal="center"/>
    </xf>
    <xf numFmtId="164" fontId="6" fillId="0" borderId="2" xfId="0" applyNumberFormat="1" applyFont="1" applyBorder="1" applyAlignment="1">
      <alignment wrapText="1"/>
    </xf>
    <xf numFmtId="0" fontId="0" fillId="0" borderId="2" xfId="0" applyBorder="1"/>
    <xf numFmtId="49" fontId="12" fillId="0" borderId="2" xfId="0" applyNumberFormat="1" applyFont="1" applyBorder="1"/>
    <xf numFmtId="49" fontId="12" fillId="0" borderId="3" xfId="0" applyNumberFormat="1" applyFont="1" applyBorder="1"/>
    <xf numFmtId="0" fontId="0" fillId="0" borderId="3" xfId="0" applyBorder="1"/>
    <xf numFmtId="2" fontId="13" fillId="0" borderId="3" xfId="0" applyNumberFormat="1" applyFont="1" applyBorder="1"/>
    <xf numFmtId="49" fontId="12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center"/>
    </xf>
    <xf numFmtId="166" fontId="14" fillId="0" borderId="3" xfId="0" applyNumberFormat="1" applyFont="1" applyBorder="1" applyAlignment="1">
      <alignment horizontal="right"/>
    </xf>
    <xf numFmtId="167" fontId="12" fillId="0" borderId="3" xfId="0" applyNumberFormat="1" applyFont="1" applyBorder="1"/>
    <xf numFmtId="49" fontId="12" fillId="0" borderId="2" xfId="0" applyNumberFormat="1" applyFont="1" applyBorder="1" applyAlignment="1">
      <alignment horizontal="right"/>
    </xf>
    <xf numFmtId="49" fontId="12" fillId="0" borderId="2" xfId="0" applyNumberFormat="1" applyFont="1" applyBorder="1" applyAlignment="1">
      <alignment horizontal="center"/>
    </xf>
    <xf numFmtId="2" fontId="14" fillId="0" borderId="3" xfId="0" applyNumberFormat="1" applyFont="1" applyBorder="1" applyAlignment="1">
      <alignment horizontal="right"/>
    </xf>
    <xf numFmtId="0" fontId="14" fillId="0" borderId="3" xfId="0" applyFont="1" applyBorder="1"/>
    <xf numFmtId="49" fontId="14" fillId="0" borderId="3" xfId="0" applyNumberFormat="1" applyFont="1" applyBorder="1"/>
    <xf numFmtId="49" fontId="13" fillId="0" borderId="3" xfId="0" applyNumberFormat="1" applyFont="1" applyBorder="1"/>
    <xf numFmtId="2" fontId="15" fillId="0" borderId="3" xfId="0" applyNumberFormat="1" applyFont="1" applyBorder="1"/>
    <xf numFmtId="2" fontId="6" fillId="0" borderId="3" xfId="0" applyNumberFormat="1" applyFont="1" applyBorder="1"/>
    <xf numFmtId="168" fontId="14" fillId="0" borderId="3" xfId="0" applyNumberFormat="1" applyFont="1" applyBorder="1"/>
    <xf numFmtId="49" fontId="14" fillId="0" borderId="0" xfId="0" applyNumberFormat="1" applyFont="1"/>
    <xf numFmtId="49" fontId="12" fillId="0" borderId="0" xfId="0" applyNumberFormat="1" applyFont="1"/>
    <xf numFmtId="49" fontId="13" fillId="0" borderId="0" xfId="0" applyNumberFormat="1" applyFont="1"/>
    <xf numFmtId="39" fontId="14" fillId="0" borderId="0" xfId="0" applyNumberFormat="1" applyFont="1"/>
    <xf numFmtId="39" fontId="12" fillId="0" borderId="0" xfId="0" applyNumberFormat="1" applyFont="1"/>
    <xf numFmtId="4" fontId="14" fillId="0" borderId="2" xfId="0" applyNumberFormat="1" applyFont="1" applyBorder="1"/>
    <xf numFmtId="4" fontId="13" fillId="0" borderId="2" xfId="0" applyNumberFormat="1" applyFont="1" applyBorder="1"/>
    <xf numFmtId="4" fontId="14" fillId="0" borderId="0" xfId="0" applyNumberFormat="1" applyFont="1"/>
    <xf numFmtId="4" fontId="13" fillId="0" borderId="0" xfId="0" applyNumberFormat="1" applyFont="1"/>
    <xf numFmtId="4" fontId="13" fillId="0" borderId="1" xfId="0" applyNumberFormat="1" applyFont="1" applyBorder="1"/>
    <xf numFmtId="49" fontId="16" fillId="0" borderId="2" xfId="0" applyNumberFormat="1" applyFont="1" applyBorder="1" applyAlignment="1">
      <alignment horizontal="center"/>
    </xf>
    <xf numFmtId="49" fontId="16" fillId="0" borderId="0" xfId="0" applyNumberFormat="1" applyFont="1" applyAlignment="1">
      <alignment horizontal="center"/>
    </xf>
    <xf numFmtId="49" fontId="12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/>
    </xf>
    <xf numFmtId="4" fontId="14" fillId="0" borderId="1" xfId="0" applyNumberFormat="1" applyFont="1" applyBorder="1"/>
    <xf numFmtId="0" fontId="14" fillId="0" borderId="0" xfId="0" applyFont="1"/>
    <xf numFmtId="164" fontId="6" fillId="0" borderId="1" xfId="0" applyNumberFormat="1" applyFont="1" applyBorder="1" applyAlignment="1">
      <alignment horizontal="right" wrapText="1"/>
    </xf>
    <xf numFmtId="2" fontId="14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k\OneDrive\O&amp;G\Avalon%20Sales%20Package\Avalon%20Sales%20Package\Accounting\Muray%20Lake\Murrray%20Lake%202019\Avalon%20Energy%20Ltd.%202019%20Operating%20Statement%20Murray%20Lak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k\OneDrive\O&amp;G\Avalon%20Sales%20Package\Avalon%20Sales%20Package\Accounting\Hays\Hays%202019\OPEX%202019%20Statement%20Hay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ccounting/Hays/Hays%202019/OPEX%202019%20Statement%20Ha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 5-30-9-7 "/>
      <sheetName val="100 10-36-9-8 Water Source"/>
      <sheetName val="FAC 7-36-9-8"/>
      <sheetName val="102 8-35-9-8"/>
      <sheetName val="102 8-36-9-8"/>
      <sheetName val="SAT 10-36-9-8"/>
      <sheetName val="SAT 15-36-9-8"/>
      <sheetName val="FAC 1-25-9-8"/>
      <sheetName val="SAT 9-36-9-8"/>
      <sheetName val="Murray Lake"/>
    </sheetNames>
    <sheetDataSet>
      <sheetData sheetId="0">
        <row r="3">
          <cell r="A3" t="str">
            <v xml:space="preserve">January 2019 -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% 9-30"/>
      <sheetName val="100% 9-30"/>
      <sheetName val="15% 10-7"/>
      <sheetName val="100% 10-7"/>
      <sheetName val="10-7"/>
      <sheetName val="9-30"/>
    </sheetNames>
    <sheetDataSet>
      <sheetData sheetId="0"/>
      <sheetData sheetId="1"/>
      <sheetData sheetId="2">
        <row r="10">
          <cell r="C10">
            <v>7589.23</v>
          </cell>
          <cell r="D10">
            <v>7500.53</v>
          </cell>
          <cell r="E10">
            <v>7532.11</v>
          </cell>
          <cell r="F10">
            <v>7410.19</v>
          </cell>
          <cell r="G10">
            <v>8068.32</v>
          </cell>
          <cell r="H10">
            <v>0</v>
          </cell>
        </row>
        <row r="14">
          <cell r="C14">
            <v>-59.79</v>
          </cell>
          <cell r="D14">
            <v>-772.17</v>
          </cell>
          <cell r="E14">
            <v>-1526.96</v>
          </cell>
          <cell r="F14">
            <v>-804.73</v>
          </cell>
          <cell r="G14">
            <v>-1406.1</v>
          </cell>
          <cell r="H14">
            <v>-467.59</v>
          </cell>
        </row>
        <row r="21">
          <cell r="C21">
            <v>90.69</v>
          </cell>
          <cell r="E21">
            <v>11.73</v>
          </cell>
          <cell r="G21">
            <v>33.72</v>
          </cell>
          <cell r="H21">
            <v>72.06</v>
          </cell>
        </row>
        <row r="22">
          <cell r="C22">
            <v>112.5</v>
          </cell>
          <cell r="D22">
            <v>112.5</v>
          </cell>
          <cell r="E22">
            <v>112.5</v>
          </cell>
          <cell r="F22">
            <v>112.5</v>
          </cell>
          <cell r="G22">
            <v>120</v>
          </cell>
          <cell r="H22">
            <v>121.5</v>
          </cell>
        </row>
        <row r="27">
          <cell r="E27">
            <v>67.2</v>
          </cell>
          <cell r="H27">
            <v>67.2</v>
          </cell>
        </row>
        <row r="29">
          <cell r="G29">
            <v>143.09</v>
          </cell>
        </row>
        <row r="30">
          <cell r="E30">
            <v>8.59</v>
          </cell>
          <cell r="G30">
            <v>10.8</v>
          </cell>
        </row>
        <row r="32">
          <cell r="E32">
            <v>199.5</v>
          </cell>
          <cell r="F32">
            <v>57</v>
          </cell>
          <cell r="G32">
            <v>441</v>
          </cell>
        </row>
        <row r="33">
          <cell r="D33">
            <v>60</v>
          </cell>
        </row>
        <row r="34">
          <cell r="E34">
            <v>62.2</v>
          </cell>
          <cell r="F34">
            <v>170.38</v>
          </cell>
          <cell r="G34">
            <v>64.260000000000005</v>
          </cell>
        </row>
        <row r="35">
          <cell r="G35">
            <v>7.02</v>
          </cell>
          <cell r="H35">
            <v>55.67</v>
          </cell>
        </row>
        <row r="36">
          <cell r="C36">
            <v>103.5</v>
          </cell>
        </row>
        <row r="37">
          <cell r="C37">
            <v>483.75</v>
          </cell>
          <cell r="D37">
            <v>270</v>
          </cell>
          <cell r="E37">
            <v>202.5</v>
          </cell>
          <cell r="F37">
            <v>202.5</v>
          </cell>
          <cell r="G37">
            <v>202.5</v>
          </cell>
          <cell r="H37">
            <v>22.38</v>
          </cell>
        </row>
        <row r="53">
          <cell r="H53">
            <v>0</v>
          </cell>
        </row>
      </sheetData>
      <sheetData sheetId="3"/>
      <sheetData sheetId="4">
        <row r="10">
          <cell r="D10">
            <v>43005.636666666673</v>
          </cell>
          <cell r="F10">
            <v>42503.003333333334</v>
          </cell>
          <cell r="H10">
            <v>42681.956666666665</v>
          </cell>
          <cell r="J10">
            <v>41991.07666666666</v>
          </cell>
          <cell r="L10">
            <v>45720.480000000003</v>
          </cell>
          <cell r="N10">
            <v>0</v>
          </cell>
        </row>
        <row r="14">
          <cell r="D14">
            <v>-338.81</v>
          </cell>
          <cell r="F14">
            <v>-4375.63</v>
          </cell>
          <cell r="H14">
            <v>-8652.7733333333344</v>
          </cell>
          <cell r="J14">
            <v>-4560.1366666666672</v>
          </cell>
          <cell r="L14">
            <v>-7967.9</v>
          </cell>
          <cell r="N14">
            <v>-2649.6766666666663</v>
          </cell>
        </row>
        <row r="20">
          <cell r="D20">
            <v>0</v>
          </cell>
        </row>
        <row r="21">
          <cell r="D21">
            <v>513.91000000000008</v>
          </cell>
          <cell r="F21">
            <v>0</v>
          </cell>
          <cell r="H21">
            <v>66.47</v>
          </cell>
        </row>
        <row r="22">
          <cell r="D22">
            <v>637.5</v>
          </cell>
          <cell r="F22">
            <v>637.5</v>
          </cell>
          <cell r="H22">
            <v>637.5</v>
          </cell>
          <cell r="J22">
            <v>637.5</v>
          </cell>
          <cell r="L22">
            <v>680</v>
          </cell>
          <cell r="N22">
            <v>688.5</v>
          </cell>
        </row>
        <row r="23">
          <cell r="D23">
            <v>0</v>
          </cell>
        </row>
        <row r="24">
          <cell r="D24">
            <v>0</v>
          </cell>
        </row>
        <row r="29">
          <cell r="D29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586.5</v>
          </cell>
        </row>
        <row r="37">
          <cell r="D37">
            <v>2741.25</v>
          </cell>
        </row>
      </sheetData>
      <sheetData sheetId="5">
        <row r="10">
          <cell r="D10">
            <v>13515.654500000001</v>
          </cell>
          <cell r="F10">
            <v>14227.3</v>
          </cell>
          <cell r="H10">
            <v>14956.6</v>
          </cell>
          <cell r="J10">
            <v>40521.766666666663</v>
          </cell>
          <cell r="L10">
            <v>31362.280000000002</v>
          </cell>
          <cell r="N10">
            <v>12939.153333333335</v>
          </cell>
        </row>
        <row r="14">
          <cell r="D14">
            <v>0</v>
          </cell>
          <cell r="F14">
            <v>0</v>
          </cell>
          <cell r="H14">
            <v>0</v>
          </cell>
          <cell r="J14">
            <v>-1584.9666666666667</v>
          </cell>
          <cell r="L14">
            <v>-2761.48</v>
          </cell>
          <cell r="N14">
            <v>-2837.0733333333337</v>
          </cell>
        </row>
        <row r="20">
          <cell r="D20">
            <v>15.413333333333336</v>
          </cell>
          <cell r="F20">
            <v>31.053333333333338</v>
          </cell>
          <cell r="H20">
            <v>12.466666666666669</v>
          </cell>
          <cell r="J20">
            <v>15.583333333333336</v>
          </cell>
          <cell r="L20">
            <v>9.35</v>
          </cell>
          <cell r="N20">
            <v>0</v>
          </cell>
        </row>
        <row r="21">
          <cell r="D21">
            <v>407.54666666666668</v>
          </cell>
          <cell r="F21">
            <v>833.45333333333338</v>
          </cell>
          <cell r="H21">
            <v>854.98666666666668</v>
          </cell>
          <cell r="J21">
            <v>741.14333333333332</v>
          </cell>
          <cell r="L21">
            <v>1048.3900000000001</v>
          </cell>
          <cell r="N21">
            <v>1094.0633333333335</v>
          </cell>
        </row>
        <row r="22">
          <cell r="D22">
            <v>1122</v>
          </cell>
          <cell r="F22">
            <v>2114.1766666666663</v>
          </cell>
          <cell r="H22">
            <v>1224</v>
          </cell>
          <cell r="J22">
            <v>9806.7899999999991</v>
          </cell>
          <cell r="L22">
            <v>1738.3066666666666</v>
          </cell>
          <cell r="N22">
            <v>1581</v>
          </cell>
        </row>
        <row r="23">
          <cell r="D23">
            <v>26.973333333333336</v>
          </cell>
        </row>
        <row r="24">
          <cell r="D24">
            <v>2419.1</v>
          </cell>
        </row>
        <row r="29">
          <cell r="D29">
            <v>0</v>
          </cell>
        </row>
        <row r="34">
          <cell r="D34">
            <v>353.54333333333335</v>
          </cell>
        </row>
        <row r="35">
          <cell r="D35">
            <v>643.90333333333331</v>
          </cell>
        </row>
        <row r="36">
          <cell r="D36">
            <v>1365.7233333333334</v>
          </cell>
        </row>
        <row r="37">
          <cell r="D37">
            <v>586.5</v>
          </cell>
        </row>
        <row r="38">
          <cell r="D38">
            <v>701.25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% 9-30"/>
      <sheetName val="100% 9-30"/>
      <sheetName val="15% 10-7"/>
      <sheetName val="100% 10-7"/>
    </sheetNames>
    <sheetDataSet>
      <sheetData sheetId="0">
        <row r="10">
          <cell r="C10">
            <v>2385.1154999999999</v>
          </cell>
          <cell r="D10">
            <v>2510.6999999999998</v>
          </cell>
          <cell r="E10">
            <v>2639.4</v>
          </cell>
          <cell r="F10">
            <v>7150.9</v>
          </cell>
          <cell r="G10">
            <v>5534.52</v>
          </cell>
          <cell r="H10">
            <v>2283.38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-279.7</v>
          </cell>
          <cell r="G14">
            <v>-487.32</v>
          </cell>
          <cell r="H14">
            <v>-500.66</v>
          </cell>
        </row>
        <row r="20">
          <cell r="C20">
            <v>2.72</v>
          </cell>
          <cell r="D20">
            <v>5.48</v>
          </cell>
          <cell r="E20">
            <v>2.2000000000000002</v>
          </cell>
          <cell r="F20">
            <v>2.75</v>
          </cell>
          <cell r="G20">
            <v>1.65</v>
          </cell>
          <cell r="H20">
            <v>0</v>
          </cell>
        </row>
        <row r="21">
          <cell r="C21">
            <v>71.92</v>
          </cell>
          <cell r="D21">
            <v>147.08000000000001</v>
          </cell>
          <cell r="E21">
            <v>150.88</v>
          </cell>
          <cell r="F21">
            <v>130.79</v>
          </cell>
          <cell r="G21">
            <v>185.01</v>
          </cell>
          <cell r="H21">
            <v>193.07</v>
          </cell>
        </row>
        <row r="22">
          <cell r="C22">
            <v>198</v>
          </cell>
          <cell r="D22">
            <v>373.09</v>
          </cell>
          <cell r="E22">
            <v>216</v>
          </cell>
          <cell r="F22">
            <v>1730.61</v>
          </cell>
          <cell r="G22">
            <v>306.76</v>
          </cell>
          <cell r="H22">
            <v>279</v>
          </cell>
        </row>
        <row r="23">
          <cell r="C23">
            <v>4.76</v>
          </cell>
          <cell r="D23">
            <v>4.79</v>
          </cell>
          <cell r="E23">
            <v>5.53</v>
          </cell>
          <cell r="F23">
            <v>15.4</v>
          </cell>
          <cell r="G23">
            <v>5.53</v>
          </cell>
          <cell r="H23">
            <v>4.79</v>
          </cell>
        </row>
        <row r="24">
          <cell r="C24">
            <v>426.9</v>
          </cell>
          <cell r="D24">
            <v>954.83</v>
          </cell>
          <cell r="E24">
            <v>673.63</v>
          </cell>
          <cell r="F24">
            <v>181.92</v>
          </cell>
          <cell r="G24">
            <v>160.12</v>
          </cell>
          <cell r="H24">
            <v>45.53</v>
          </cell>
        </row>
        <row r="29">
          <cell r="G29">
            <v>286.14999999999998</v>
          </cell>
        </row>
        <row r="30">
          <cell r="D30">
            <v>16.350000000000001</v>
          </cell>
          <cell r="E30">
            <v>17.18</v>
          </cell>
          <cell r="G30">
            <v>43.93</v>
          </cell>
        </row>
        <row r="32">
          <cell r="D32">
            <v>217.73</v>
          </cell>
          <cell r="E32">
            <v>1019.59</v>
          </cell>
          <cell r="F32">
            <v>249.42</v>
          </cell>
          <cell r="G32">
            <v>1576.83</v>
          </cell>
          <cell r="H32">
            <v>463.12</v>
          </cell>
        </row>
        <row r="33">
          <cell r="D33">
            <v>90</v>
          </cell>
          <cell r="F33">
            <v>171</v>
          </cell>
        </row>
        <row r="34">
          <cell r="C34">
            <v>62.39</v>
          </cell>
          <cell r="E34">
            <v>101.35</v>
          </cell>
          <cell r="F34">
            <v>85.81</v>
          </cell>
          <cell r="G34">
            <v>97.33</v>
          </cell>
          <cell r="H34">
            <v>56.92</v>
          </cell>
        </row>
        <row r="35">
          <cell r="C35">
            <v>113.63</v>
          </cell>
          <cell r="G35">
            <v>111.37</v>
          </cell>
        </row>
        <row r="36">
          <cell r="C36">
            <v>241.01</v>
          </cell>
          <cell r="E36">
            <v>-6.06</v>
          </cell>
          <cell r="F36">
            <v>76.81</v>
          </cell>
          <cell r="G36">
            <v>91.91</v>
          </cell>
        </row>
        <row r="37">
          <cell r="C37">
            <v>103.5</v>
          </cell>
        </row>
        <row r="38">
          <cell r="C38">
            <v>123.75</v>
          </cell>
          <cell r="D38">
            <v>180</v>
          </cell>
          <cell r="E38">
            <v>90</v>
          </cell>
          <cell r="F38">
            <v>180</v>
          </cell>
          <cell r="G38">
            <v>191.25</v>
          </cell>
          <cell r="H38">
            <v>132.15</v>
          </cell>
        </row>
        <row r="39">
          <cell r="G39">
            <v>560.63</v>
          </cell>
        </row>
        <row r="49">
          <cell r="C49">
            <v>48.343138813801872</v>
          </cell>
          <cell r="D49">
            <v>63.514072189537288</v>
          </cell>
          <cell r="E49">
            <v>68.408332008268417</v>
          </cell>
          <cell r="F49">
            <v>74.123072030529499</v>
          </cell>
          <cell r="G49">
            <v>73.79710605819686</v>
          </cell>
          <cell r="H49">
            <v>58.945778343138812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31170-8FC1-4602-A802-1164395E7A5A}">
  <dimension ref="A1:H37"/>
  <sheetViews>
    <sheetView topLeftCell="A11" workbookViewId="0">
      <selection activeCell="H31" sqref="H31"/>
    </sheetView>
  </sheetViews>
  <sheetFormatPr defaultRowHeight="15" x14ac:dyDescent="0.25"/>
  <cols>
    <col min="1" max="1" width="30.140625" customWidth="1"/>
    <col min="2" max="7" width="8.5703125" customWidth="1"/>
    <col min="8" max="8" width="9.42578125" customWidth="1"/>
  </cols>
  <sheetData>
    <row r="1" spans="1:8" ht="1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1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</row>
    <row r="6" spans="1:8" x14ac:dyDescent="0.25">
      <c r="A6" s="6" t="s">
        <v>10</v>
      </c>
      <c r="B6" s="7"/>
      <c r="C6" s="7"/>
      <c r="D6" s="7"/>
      <c r="E6" s="7"/>
      <c r="F6" s="7"/>
      <c r="G6" s="7"/>
      <c r="H6" s="7"/>
    </row>
    <row r="7" spans="1:8" x14ac:dyDescent="0.25">
      <c r="A7" s="6" t="s">
        <v>11</v>
      </c>
      <c r="B7" s="7"/>
      <c r="C7" s="7"/>
      <c r="D7" s="7"/>
      <c r="E7" s="7"/>
      <c r="F7" s="7"/>
      <c r="G7" s="7"/>
      <c r="H7" s="8">
        <f t="shared" ref="H7:H13" si="0">(((((B7)+(C7))+(D7))+(E7))+(F7))+(G7)</f>
        <v>0</v>
      </c>
    </row>
    <row r="8" spans="1:8" x14ac:dyDescent="0.25">
      <c r="A8" s="6" t="s">
        <v>12</v>
      </c>
      <c r="B8" s="7"/>
      <c r="C8" s="7"/>
      <c r="D8" s="7"/>
      <c r="E8" s="7"/>
      <c r="F8" s="7"/>
      <c r="G8" s="7"/>
      <c r="H8" s="8">
        <f t="shared" si="0"/>
        <v>0</v>
      </c>
    </row>
    <row r="9" spans="1:8" x14ac:dyDescent="0.25">
      <c r="A9" s="6" t="s">
        <v>13</v>
      </c>
      <c r="B9" s="8">
        <f>6203.45</f>
        <v>6203.45</v>
      </c>
      <c r="C9" s="8">
        <f>5686.26</f>
        <v>5686.26</v>
      </c>
      <c r="D9" s="8">
        <f>5521.32</f>
        <v>5521.32</v>
      </c>
      <c r="E9" s="8">
        <f>5772.14</f>
        <v>5772.14</v>
      </c>
      <c r="F9" s="8">
        <f>6882.47</f>
        <v>6882.47</v>
      </c>
      <c r="G9" s="8">
        <f>4497.31</f>
        <v>4497.3100000000004</v>
      </c>
      <c r="H9" s="8">
        <f t="shared" si="0"/>
        <v>34562.949999999997</v>
      </c>
    </row>
    <row r="10" spans="1:8" x14ac:dyDescent="0.25">
      <c r="A10" s="6" t="s">
        <v>14</v>
      </c>
      <c r="B10" s="9">
        <f t="shared" ref="B10:G10" si="1">(B8)+(B9)</f>
        <v>6203.45</v>
      </c>
      <c r="C10" s="9">
        <f t="shared" si="1"/>
        <v>5686.26</v>
      </c>
      <c r="D10" s="9">
        <f t="shared" si="1"/>
        <v>5521.32</v>
      </c>
      <c r="E10" s="9">
        <f t="shared" si="1"/>
        <v>5772.14</v>
      </c>
      <c r="F10" s="9">
        <f t="shared" si="1"/>
        <v>6882.47</v>
      </c>
      <c r="G10" s="9">
        <f t="shared" si="1"/>
        <v>4497.3100000000004</v>
      </c>
      <c r="H10" s="9">
        <f t="shared" si="0"/>
        <v>34562.949999999997</v>
      </c>
    </row>
    <row r="11" spans="1:8" x14ac:dyDescent="0.25">
      <c r="A11" s="6" t="s">
        <v>15</v>
      </c>
      <c r="B11" s="9">
        <f t="shared" ref="B11:G11" si="2">(B7)+(B10)</f>
        <v>6203.45</v>
      </c>
      <c r="C11" s="9">
        <f t="shared" si="2"/>
        <v>5686.26</v>
      </c>
      <c r="D11" s="9">
        <f t="shared" si="2"/>
        <v>5521.32</v>
      </c>
      <c r="E11" s="9">
        <f t="shared" si="2"/>
        <v>5772.14</v>
      </c>
      <c r="F11" s="9">
        <f t="shared" si="2"/>
        <v>6882.47</v>
      </c>
      <c r="G11" s="9">
        <f t="shared" si="2"/>
        <v>4497.3100000000004</v>
      </c>
      <c r="H11" s="9">
        <f t="shared" si="0"/>
        <v>34562.949999999997</v>
      </c>
    </row>
    <row r="12" spans="1:8" x14ac:dyDescent="0.25">
      <c r="A12" s="6" t="s">
        <v>16</v>
      </c>
      <c r="B12" s="9">
        <f t="shared" ref="B12:G12" si="3">B11</f>
        <v>6203.45</v>
      </c>
      <c r="C12" s="9">
        <f t="shared" si="3"/>
        <v>5686.26</v>
      </c>
      <c r="D12" s="9">
        <f t="shared" si="3"/>
        <v>5521.32</v>
      </c>
      <c r="E12" s="9">
        <f t="shared" si="3"/>
        <v>5772.14</v>
      </c>
      <c r="F12" s="9">
        <f t="shared" si="3"/>
        <v>6882.47</v>
      </c>
      <c r="G12" s="9">
        <f t="shared" si="3"/>
        <v>4497.3100000000004</v>
      </c>
      <c r="H12" s="9">
        <f t="shared" si="0"/>
        <v>34562.949999999997</v>
      </c>
    </row>
    <row r="13" spans="1:8" x14ac:dyDescent="0.25">
      <c r="A13" s="6" t="s">
        <v>17</v>
      </c>
      <c r="B13" s="9">
        <f t="shared" ref="B13:G13" si="4">(B12)-(0)</f>
        <v>6203.45</v>
      </c>
      <c r="C13" s="9">
        <f t="shared" si="4"/>
        <v>5686.26</v>
      </c>
      <c r="D13" s="9">
        <f t="shared" si="4"/>
        <v>5521.32</v>
      </c>
      <c r="E13" s="9">
        <f t="shared" si="4"/>
        <v>5772.14</v>
      </c>
      <c r="F13" s="9">
        <f t="shared" si="4"/>
        <v>6882.47</v>
      </c>
      <c r="G13" s="9">
        <f t="shared" si="4"/>
        <v>4497.3100000000004</v>
      </c>
      <c r="H13" s="9">
        <f t="shared" si="0"/>
        <v>34562.949999999997</v>
      </c>
    </row>
    <row r="14" spans="1:8" x14ac:dyDescent="0.25">
      <c r="A14" s="6" t="s">
        <v>18</v>
      </c>
      <c r="B14" s="7"/>
      <c r="C14" s="7"/>
      <c r="D14" s="7"/>
      <c r="E14" s="7"/>
      <c r="F14" s="7"/>
      <c r="G14" s="7"/>
      <c r="H14" s="7"/>
    </row>
    <row r="15" spans="1:8" x14ac:dyDescent="0.25">
      <c r="A15" s="6" t="s">
        <v>19</v>
      </c>
      <c r="B15" s="7"/>
      <c r="C15" s="7"/>
      <c r="D15" s="7"/>
      <c r="E15" s="7"/>
      <c r="F15" s="7"/>
      <c r="G15" s="7"/>
      <c r="H15" s="8">
        <f t="shared" ref="H15:H33" si="5">(((((B15)+(C15))+(D15))+(E15))+(F15))+(G15)</f>
        <v>0</v>
      </c>
    </row>
    <row r="16" spans="1:8" x14ac:dyDescent="0.25">
      <c r="A16" s="6" t="s">
        <v>20</v>
      </c>
      <c r="B16" s="8">
        <f>278.5</f>
        <v>278.5</v>
      </c>
      <c r="C16" s="8">
        <f>835.52</f>
        <v>835.52</v>
      </c>
      <c r="D16" s="8">
        <f>309.07</f>
        <v>309.07</v>
      </c>
      <c r="E16" s="8">
        <f>278.51</f>
        <v>278.51</v>
      </c>
      <c r="F16" s="8">
        <f>278.51</f>
        <v>278.51</v>
      </c>
      <c r="G16" s="8">
        <f>557.01</f>
        <v>557.01</v>
      </c>
      <c r="H16" s="8">
        <f t="shared" si="5"/>
        <v>2537.12</v>
      </c>
    </row>
    <row r="17" spans="1:8" x14ac:dyDescent="0.25">
      <c r="A17" s="6" t="s">
        <v>21</v>
      </c>
      <c r="B17" s="8">
        <f>505.46</f>
        <v>505.46</v>
      </c>
      <c r="C17" s="8">
        <f>334.55</f>
        <v>334.55</v>
      </c>
      <c r="D17" s="8">
        <f>430.5</f>
        <v>430.5</v>
      </c>
      <c r="E17" s="8">
        <f>395.45</f>
        <v>395.45</v>
      </c>
      <c r="F17" s="8">
        <f>385</f>
        <v>385</v>
      </c>
      <c r="G17" s="8">
        <f>812.28</f>
        <v>812.28</v>
      </c>
      <c r="H17" s="8">
        <f t="shared" si="5"/>
        <v>2863.24</v>
      </c>
    </row>
    <row r="18" spans="1:8" x14ac:dyDescent="0.25">
      <c r="A18" s="6" t="s">
        <v>22</v>
      </c>
      <c r="B18" s="8">
        <f>578.93</f>
        <v>578.92999999999995</v>
      </c>
      <c r="C18" s="8">
        <f>976.23</f>
        <v>976.23</v>
      </c>
      <c r="D18" s="8">
        <f>691.91</f>
        <v>691.91</v>
      </c>
      <c r="E18" s="8">
        <f>561.21</f>
        <v>561.21</v>
      </c>
      <c r="F18" s="8">
        <f>729.55</f>
        <v>729.55</v>
      </c>
      <c r="G18" s="8">
        <f>532.95</f>
        <v>532.95000000000005</v>
      </c>
      <c r="H18" s="8">
        <f t="shared" si="5"/>
        <v>4070.7799999999997</v>
      </c>
    </row>
    <row r="19" spans="1:8" x14ac:dyDescent="0.25">
      <c r="A19" s="6" t="s">
        <v>23</v>
      </c>
      <c r="B19" s="7"/>
      <c r="C19" s="7"/>
      <c r="D19" s="7"/>
      <c r="E19" s="8">
        <f>442.5</f>
        <v>442.5</v>
      </c>
      <c r="F19" s="7"/>
      <c r="G19" s="7"/>
      <c r="H19" s="8">
        <f t="shared" si="5"/>
        <v>442.5</v>
      </c>
    </row>
    <row r="20" spans="1:8" x14ac:dyDescent="0.25">
      <c r="A20" s="6" t="s">
        <v>24</v>
      </c>
      <c r="B20" s="7"/>
      <c r="C20" s="7"/>
      <c r="D20" s="7"/>
      <c r="E20" s="7"/>
      <c r="F20" s="7"/>
      <c r="G20" s="7"/>
      <c r="H20" s="8">
        <f t="shared" si="5"/>
        <v>0</v>
      </c>
    </row>
    <row r="21" spans="1:8" x14ac:dyDescent="0.25">
      <c r="A21" s="6" t="s">
        <v>25</v>
      </c>
      <c r="B21" s="7"/>
      <c r="C21" s="7"/>
      <c r="D21" s="7"/>
      <c r="E21" s="7"/>
      <c r="F21" s="7"/>
      <c r="G21" s="8">
        <f>1323.33</f>
        <v>1323.33</v>
      </c>
      <c r="H21" s="8">
        <f t="shared" si="5"/>
        <v>1323.33</v>
      </c>
    </row>
    <row r="22" spans="1:8" x14ac:dyDescent="0.25">
      <c r="A22" s="6" t="s">
        <v>26</v>
      </c>
      <c r="B22" s="9">
        <f t="shared" ref="B22:G22" si="6">(B20)+(B21)</f>
        <v>0</v>
      </c>
      <c r="C22" s="9">
        <f t="shared" si="6"/>
        <v>0</v>
      </c>
      <c r="D22" s="9">
        <f t="shared" si="6"/>
        <v>0</v>
      </c>
      <c r="E22" s="9">
        <f t="shared" si="6"/>
        <v>0</v>
      </c>
      <c r="F22" s="9">
        <f t="shared" si="6"/>
        <v>0</v>
      </c>
      <c r="G22" s="9">
        <f t="shared" si="6"/>
        <v>1323.33</v>
      </c>
      <c r="H22" s="9">
        <f t="shared" si="5"/>
        <v>1323.33</v>
      </c>
    </row>
    <row r="23" spans="1:8" x14ac:dyDescent="0.25">
      <c r="A23" s="6" t="s">
        <v>48</v>
      </c>
      <c r="B23" s="12"/>
      <c r="C23" s="12"/>
      <c r="D23" s="12"/>
      <c r="E23" s="12"/>
      <c r="F23" s="13">
        <f>1907.88/3</f>
        <v>635.96</v>
      </c>
      <c r="G23" s="12"/>
      <c r="H23" s="8">
        <f t="shared" si="5"/>
        <v>635.96</v>
      </c>
    </row>
    <row r="24" spans="1:8" x14ac:dyDescent="0.25">
      <c r="A24" s="6" t="s">
        <v>27</v>
      </c>
      <c r="B24" s="7"/>
      <c r="C24" s="7"/>
      <c r="D24" s="8">
        <f>57.3</f>
        <v>57.3</v>
      </c>
      <c r="E24" s="7"/>
      <c r="F24" s="8">
        <f>287.68</f>
        <v>287.68</v>
      </c>
      <c r="G24" s="7"/>
      <c r="H24" s="8">
        <f t="shared" si="5"/>
        <v>344.98</v>
      </c>
    </row>
    <row r="25" spans="1:8" x14ac:dyDescent="0.25">
      <c r="A25" s="6" t="s">
        <v>28</v>
      </c>
      <c r="B25" s="7"/>
      <c r="C25" s="7"/>
      <c r="D25" s="7"/>
      <c r="E25" s="7"/>
      <c r="F25" s="7"/>
      <c r="G25" s="8">
        <f>6.99</f>
        <v>6.99</v>
      </c>
      <c r="H25" s="8">
        <f t="shared" si="5"/>
        <v>6.99</v>
      </c>
    </row>
    <row r="26" spans="1:8" x14ac:dyDescent="0.25">
      <c r="A26" s="6" t="s">
        <v>29</v>
      </c>
      <c r="B26" s="7"/>
      <c r="C26" s="7"/>
      <c r="D26" s="8">
        <f>3752.5</f>
        <v>3752.5</v>
      </c>
      <c r="E26" s="8">
        <f>427.5</f>
        <v>427.5</v>
      </c>
      <c r="F26" s="8">
        <f>190</f>
        <v>190</v>
      </c>
      <c r="G26" s="7"/>
      <c r="H26" s="8">
        <f t="shared" si="5"/>
        <v>4370</v>
      </c>
    </row>
    <row r="27" spans="1:8" x14ac:dyDescent="0.25">
      <c r="A27" s="6" t="s">
        <v>30</v>
      </c>
      <c r="B27" s="7"/>
      <c r="C27" s="7"/>
      <c r="D27" s="7"/>
      <c r="E27" s="7"/>
      <c r="F27" s="8">
        <f>115.91</f>
        <v>115.91</v>
      </c>
      <c r="G27" s="7"/>
      <c r="H27" s="8">
        <f t="shared" si="5"/>
        <v>115.91</v>
      </c>
    </row>
    <row r="28" spans="1:8" x14ac:dyDescent="0.25">
      <c r="A28" s="6" t="s">
        <v>31</v>
      </c>
      <c r="B28" s="7"/>
      <c r="C28" s="7"/>
      <c r="D28" s="7"/>
      <c r="E28" s="7"/>
      <c r="F28" s="7"/>
      <c r="G28" s="8">
        <f>5.14</f>
        <v>5.14</v>
      </c>
      <c r="H28" s="8">
        <f t="shared" si="5"/>
        <v>5.14</v>
      </c>
    </row>
    <row r="29" spans="1:8" x14ac:dyDescent="0.25">
      <c r="A29" s="6" t="s">
        <v>32</v>
      </c>
      <c r="B29" s="7"/>
      <c r="C29" s="7"/>
      <c r="D29" s="7"/>
      <c r="E29" s="8">
        <f>1036.95</f>
        <v>1036.95</v>
      </c>
      <c r="F29" s="7"/>
      <c r="G29" s="7"/>
      <c r="H29" s="8">
        <f t="shared" si="5"/>
        <v>1036.95</v>
      </c>
    </row>
    <row r="30" spans="1:8" x14ac:dyDescent="0.25">
      <c r="A30" s="6" t="s">
        <v>33</v>
      </c>
      <c r="B30" s="8">
        <f>333.25</f>
        <v>333.25</v>
      </c>
      <c r="C30" s="8">
        <f>604.23</f>
        <v>604.23</v>
      </c>
      <c r="D30" s="8">
        <f>566.89</f>
        <v>566.89</v>
      </c>
      <c r="E30" s="8">
        <f>552.89</f>
        <v>552.89</v>
      </c>
      <c r="F30" s="8">
        <f>639.38</f>
        <v>639.38</v>
      </c>
      <c r="G30" s="8">
        <f>1786.1</f>
        <v>1786.1</v>
      </c>
      <c r="H30" s="8">
        <f t="shared" si="5"/>
        <v>4482.74</v>
      </c>
    </row>
    <row r="31" spans="1:8" x14ac:dyDescent="0.25">
      <c r="A31" s="6" t="s">
        <v>34</v>
      </c>
      <c r="B31" s="9">
        <f t="shared" ref="B31:G31" si="7">((((((((((((B15)+(B16))+(B17))+(B18))+(B19))+(B22))+(B24))+(B25))+(B26))+(B27))+(B28))+(B29))+(B30)</f>
        <v>1696.1399999999999</v>
      </c>
      <c r="C31" s="9">
        <f t="shared" si="7"/>
        <v>2750.53</v>
      </c>
      <c r="D31" s="9">
        <f t="shared" si="7"/>
        <v>5808.17</v>
      </c>
      <c r="E31" s="9">
        <f t="shared" si="7"/>
        <v>3695.0099999999998</v>
      </c>
      <c r="F31" s="9">
        <f>((((((((((((F15)+(F16))+(F17))+(F18))+(F19))+(F22))+(F24))+(F25))+(F26))+(F27))+(F28))+(F29))+(F30)+F23</f>
        <v>3261.9900000000002</v>
      </c>
      <c r="G31" s="9">
        <f t="shared" si="7"/>
        <v>5023.7999999999993</v>
      </c>
      <c r="H31" s="9">
        <f t="shared" si="5"/>
        <v>22235.64</v>
      </c>
    </row>
    <row r="32" spans="1:8" x14ac:dyDescent="0.25">
      <c r="A32" s="6" t="s">
        <v>35</v>
      </c>
      <c r="B32" s="9">
        <f t="shared" ref="B32:G32" si="8">B31</f>
        <v>1696.1399999999999</v>
      </c>
      <c r="C32" s="9">
        <f t="shared" si="8"/>
        <v>2750.53</v>
      </c>
      <c r="D32" s="9">
        <f t="shared" si="8"/>
        <v>5808.17</v>
      </c>
      <c r="E32" s="9">
        <f t="shared" si="8"/>
        <v>3695.0099999999998</v>
      </c>
      <c r="F32" s="9">
        <f t="shared" si="8"/>
        <v>3261.9900000000002</v>
      </c>
      <c r="G32" s="9">
        <f t="shared" si="8"/>
        <v>5023.7999999999993</v>
      </c>
      <c r="H32" s="9">
        <f t="shared" si="5"/>
        <v>22235.64</v>
      </c>
    </row>
    <row r="33" spans="1:8" x14ac:dyDescent="0.25">
      <c r="A33" s="6" t="s">
        <v>36</v>
      </c>
      <c r="B33" s="9">
        <f t="shared" ref="B33:G33" si="9">(((B13)-(B32))+(0))-(0)</f>
        <v>4507.3099999999995</v>
      </c>
      <c r="C33" s="9">
        <f t="shared" si="9"/>
        <v>2935.73</v>
      </c>
      <c r="D33" s="9">
        <f t="shared" si="9"/>
        <v>-286.85000000000036</v>
      </c>
      <c r="E33" s="9">
        <f t="shared" si="9"/>
        <v>2077.1300000000006</v>
      </c>
      <c r="F33" s="9">
        <f t="shared" si="9"/>
        <v>3620.48</v>
      </c>
      <c r="G33" s="9">
        <f t="shared" si="9"/>
        <v>-526.48999999999887</v>
      </c>
      <c r="H33" s="9">
        <f t="shared" si="5"/>
        <v>12327.310000000001</v>
      </c>
    </row>
    <row r="34" spans="1:8" x14ac:dyDescent="0.25">
      <c r="A34" s="6"/>
      <c r="B34" s="7"/>
      <c r="C34" s="7"/>
      <c r="D34" s="7"/>
      <c r="E34" s="7"/>
      <c r="F34" s="7"/>
      <c r="G34" s="7"/>
      <c r="H34" s="7"/>
    </row>
    <row r="37" spans="1:8" x14ac:dyDescent="0.25">
      <c r="A37" s="10" t="s">
        <v>37</v>
      </c>
      <c r="B37" s="2"/>
      <c r="C37" s="2"/>
      <c r="D37" s="2"/>
      <c r="E37" s="2"/>
      <c r="F37" s="2"/>
      <c r="G37" s="2"/>
      <c r="H37" s="2"/>
    </row>
  </sheetData>
  <mergeCells count="4">
    <mergeCell ref="A1:H1"/>
    <mergeCell ref="A2:H2"/>
    <mergeCell ref="A3:H3"/>
    <mergeCell ref="A37:H3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3EC52-A23E-4FF6-8B42-6ADF56B7FA12}">
  <dimension ref="A1:H31"/>
  <sheetViews>
    <sheetView workbookViewId="0">
      <selection activeCell="J16" sqref="J16"/>
    </sheetView>
  </sheetViews>
  <sheetFormatPr defaultRowHeight="15" x14ac:dyDescent="0.25"/>
  <cols>
    <col min="1" max="1" width="26.5703125" customWidth="1"/>
    <col min="2" max="2" width="8.5703125" customWidth="1"/>
    <col min="3" max="3" width="7.7109375" customWidth="1"/>
    <col min="4" max="7" width="8.570312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80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0</f>
        <v>0</v>
      </c>
      <c r="C9" s="26"/>
      <c r="D9" s="27">
        <f>0</f>
        <v>0</v>
      </c>
      <c r="E9" s="27">
        <f>0</f>
        <v>0</v>
      </c>
      <c r="F9" s="27">
        <f>0</f>
        <v>0</v>
      </c>
      <c r="G9" s="27">
        <f>0</f>
        <v>0</v>
      </c>
      <c r="H9" s="27">
        <f t="shared" si="0"/>
        <v>0</v>
      </c>
    </row>
    <row r="10" spans="1:8" x14ac:dyDescent="0.25">
      <c r="A10" s="25" t="s">
        <v>14</v>
      </c>
      <c r="B10" s="28">
        <f t="shared" ref="B10:G10" si="1">(B8)+(B9)</f>
        <v>0</v>
      </c>
      <c r="C10" s="28">
        <f t="shared" si="1"/>
        <v>0</v>
      </c>
      <c r="D10" s="28">
        <f t="shared" si="1"/>
        <v>0</v>
      </c>
      <c r="E10" s="28">
        <f t="shared" si="1"/>
        <v>0</v>
      </c>
      <c r="F10" s="28">
        <f t="shared" si="1"/>
        <v>0</v>
      </c>
      <c r="G10" s="28">
        <f t="shared" si="1"/>
        <v>0</v>
      </c>
      <c r="H10" s="28">
        <f t="shared" si="0"/>
        <v>0</v>
      </c>
    </row>
    <row r="11" spans="1:8" x14ac:dyDescent="0.25">
      <c r="A11" s="25" t="s">
        <v>15</v>
      </c>
      <c r="B11" s="28">
        <f t="shared" ref="B11:G11" si="2">(B7)+(B10)</f>
        <v>0</v>
      </c>
      <c r="C11" s="28">
        <f t="shared" si="2"/>
        <v>0</v>
      </c>
      <c r="D11" s="28">
        <f t="shared" si="2"/>
        <v>0</v>
      </c>
      <c r="E11" s="28">
        <f t="shared" si="2"/>
        <v>0</v>
      </c>
      <c r="F11" s="28">
        <f t="shared" si="2"/>
        <v>0</v>
      </c>
      <c r="G11" s="28">
        <f t="shared" si="2"/>
        <v>0</v>
      </c>
      <c r="H11" s="28">
        <f t="shared" si="0"/>
        <v>0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f>0</f>
        <v>0</v>
      </c>
      <c r="C13" s="27">
        <f>0</f>
        <v>0</v>
      </c>
      <c r="D13" s="27">
        <f>0</f>
        <v>0</v>
      </c>
      <c r="E13" s="27">
        <f>0</f>
        <v>0</v>
      </c>
      <c r="F13" s="27">
        <f>0</f>
        <v>0</v>
      </c>
      <c r="G13" s="27">
        <f>0</f>
        <v>0</v>
      </c>
      <c r="H13" s="27">
        <f t="shared" si="0"/>
        <v>0</v>
      </c>
    </row>
    <row r="14" spans="1:8" x14ac:dyDescent="0.25">
      <c r="A14" s="25" t="s">
        <v>41</v>
      </c>
      <c r="B14" s="28">
        <f t="shared" ref="B14:G14" si="3">(B12)+(B13)</f>
        <v>0</v>
      </c>
      <c r="C14" s="28">
        <f t="shared" si="3"/>
        <v>0</v>
      </c>
      <c r="D14" s="28">
        <f t="shared" si="3"/>
        <v>0</v>
      </c>
      <c r="E14" s="28">
        <f t="shared" si="3"/>
        <v>0</v>
      </c>
      <c r="F14" s="28">
        <f t="shared" si="3"/>
        <v>0</v>
      </c>
      <c r="G14" s="28">
        <f t="shared" si="3"/>
        <v>0</v>
      </c>
      <c r="H14" s="28">
        <f t="shared" si="0"/>
        <v>0</v>
      </c>
    </row>
    <row r="15" spans="1:8" x14ac:dyDescent="0.25">
      <c r="A15" s="25" t="s">
        <v>16</v>
      </c>
      <c r="B15" s="28">
        <f t="shared" ref="B15:G15" si="4">(B11)+(B14)</f>
        <v>0</v>
      </c>
      <c r="C15" s="28">
        <f t="shared" si="4"/>
        <v>0</v>
      </c>
      <c r="D15" s="28">
        <f t="shared" si="4"/>
        <v>0</v>
      </c>
      <c r="E15" s="28">
        <f t="shared" si="4"/>
        <v>0</v>
      </c>
      <c r="F15" s="28">
        <f t="shared" si="4"/>
        <v>0</v>
      </c>
      <c r="G15" s="28">
        <f t="shared" si="4"/>
        <v>0</v>
      </c>
      <c r="H15" s="28">
        <f t="shared" si="0"/>
        <v>0</v>
      </c>
    </row>
    <row r="16" spans="1:8" x14ac:dyDescent="0.25">
      <c r="A16" s="25" t="s">
        <v>17</v>
      </c>
      <c r="B16" s="28">
        <f t="shared" ref="B16:G16" si="5">(B15)-(0)</f>
        <v>0</v>
      </c>
      <c r="C16" s="28">
        <f t="shared" si="5"/>
        <v>0</v>
      </c>
      <c r="D16" s="28">
        <f t="shared" si="5"/>
        <v>0</v>
      </c>
      <c r="E16" s="28">
        <f t="shared" si="5"/>
        <v>0</v>
      </c>
      <c r="F16" s="28">
        <f t="shared" si="5"/>
        <v>0</v>
      </c>
      <c r="G16" s="28">
        <f t="shared" si="5"/>
        <v>0</v>
      </c>
      <c r="H16" s="28">
        <f t="shared" si="0"/>
        <v>0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27" si="6">(((((B18)+(C18))+(D18))+(E18))+(F18))+(G18)</f>
        <v>0</v>
      </c>
    </row>
    <row r="19" spans="1:8" x14ac:dyDescent="0.25">
      <c r="A19" s="25" t="s">
        <v>22</v>
      </c>
      <c r="B19" s="27">
        <f>123.02</f>
        <v>123.02</v>
      </c>
      <c r="C19" s="27">
        <f>97.34</f>
        <v>97.34</v>
      </c>
      <c r="D19" s="27">
        <f>107.77</f>
        <v>107.77</v>
      </c>
      <c r="E19" s="27">
        <f>104.3</f>
        <v>104.3</v>
      </c>
      <c r="F19" s="27">
        <f>104.39</f>
        <v>104.39</v>
      </c>
      <c r="G19" s="27">
        <f>107.77</f>
        <v>107.77</v>
      </c>
      <c r="H19" s="27">
        <f t="shared" si="6"/>
        <v>644.59</v>
      </c>
    </row>
    <row r="20" spans="1:8" x14ac:dyDescent="0.25">
      <c r="A20" s="25" t="s">
        <v>27</v>
      </c>
      <c r="B20" s="26"/>
      <c r="C20" s="26"/>
      <c r="D20" s="27">
        <f>57.3</f>
        <v>57.3</v>
      </c>
      <c r="E20" s="26"/>
      <c r="F20" s="27">
        <f>274.32</f>
        <v>274.32</v>
      </c>
      <c r="G20" s="26"/>
      <c r="H20" s="27">
        <f t="shared" si="6"/>
        <v>331.62</v>
      </c>
    </row>
    <row r="21" spans="1:8" x14ac:dyDescent="0.25">
      <c r="A21" s="25" t="s">
        <v>28</v>
      </c>
      <c r="B21" s="26"/>
      <c r="C21" s="26"/>
      <c r="D21" s="26"/>
      <c r="E21" s="26"/>
      <c r="F21" s="26"/>
      <c r="G21" s="27">
        <f>0</f>
        <v>0</v>
      </c>
      <c r="H21" s="27">
        <f t="shared" si="6"/>
        <v>0</v>
      </c>
    </row>
    <row r="22" spans="1:8" x14ac:dyDescent="0.25">
      <c r="A22" s="25" t="s">
        <v>31</v>
      </c>
      <c r="B22" s="26"/>
      <c r="C22" s="26"/>
      <c r="D22" s="26"/>
      <c r="E22" s="26"/>
      <c r="F22" s="26"/>
      <c r="G22" s="27">
        <f>0</f>
        <v>0</v>
      </c>
      <c r="H22" s="27">
        <f t="shared" si="6"/>
        <v>0</v>
      </c>
    </row>
    <row r="23" spans="1:8" x14ac:dyDescent="0.25">
      <c r="A23" s="25" t="s">
        <v>32</v>
      </c>
      <c r="B23" s="26"/>
      <c r="C23" s="26"/>
      <c r="D23" s="26"/>
      <c r="E23" s="27">
        <f>79.95</f>
        <v>79.95</v>
      </c>
      <c r="F23" s="26"/>
      <c r="G23" s="26"/>
      <c r="H23" s="27">
        <f t="shared" si="6"/>
        <v>79.95</v>
      </c>
    </row>
    <row r="24" spans="1:8" x14ac:dyDescent="0.25">
      <c r="A24" s="25" t="s">
        <v>33</v>
      </c>
      <c r="B24" s="27">
        <f>0</f>
        <v>0</v>
      </c>
      <c r="C24" s="27">
        <f>0</f>
        <v>0</v>
      </c>
      <c r="D24" s="27">
        <f>0</f>
        <v>0</v>
      </c>
      <c r="E24" s="27">
        <f>0</f>
        <v>0</v>
      </c>
      <c r="F24" s="27">
        <f>0</f>
        <v>0</v>
      </c>
      <c r="G24" s="27">
        <f>0</f>
        <v>0</v>
      </c>
      <c r="H24" s="27">
        <f t="shared" si="6"/>
        <v>0</v>
      </c>
    </row>
    <row r="25" spans="1:8" x14ac:dyDescent="0.25">
      <c r="A25" s="25" t="s">
        <v>34</v>
      </c>
      <c r="B25" s="28">
        <f t="shared" ref="B25:G25" si="7">((((((B18)+(B19))+(B20))+(B21))+(B22))+(B23))+(B24)</f>
        <v>123.02</v>
      </c>
      <c r="C25" s="28">
        <f t="shared" si="7"/>
        <v>97.34</v>
      </c>
      <c r="D25" s="28">
        <f t="shared" si="7"/>
        <v>165.07</v>
      </c>
      <c r="E25" s="28">
        <f t="shared" si="7"/>
        <v>184.25</v>
      </c>
      <c r="F25" s="28">
        <f t="shared" si="7"/>
        <v>378.71</v>
      </c>
      <c r="G25" s="28">
        <f t="shared" si="7"/>
        <v>107.77</v>
      </c>
      <c r="H25" s="28">
        <f t="shared" si="6"/>
        <v>1056.1600000000001</v>
      </c>
    </row>
    <row r="26" spans="1:8" x14ac:dyDescent="0.25">
      <c r="A26" s="25" t="s">
        <v>35</v>
      </c>
      <c r="B26" s="28">
        <f t="shared" ref="B26:G26" si="8">B25</f>
        <v>123.02</v>
      </c>
      <c r="C26" s="28">
        <f t="shared" si="8"/>
        <v>97.34</v>
      </c>
      <c r="D26" s="28">
        <f t="shared" si="8"/>
        <v>165.07</v>
      </c>
      <c r="E26" s="28">
        <f t="shared" si="8"/>
        <v>184.25</v>
      </c>
      <c r="F26" s="28">
        <f t="shared" si="8"/>
        <v>378.71</v>
      </c>
      <c r="G26" s="28">
        <f t="shared" si="8"/>
        <v>107.77</v>
      </c>
      <c r="H26" s="28">
        <f t="shared" si="6"/>
        <v>1056.1600000000001</v>
      </c>
    </row>
    <row r="27" spans="1:8" x14ac:dyDescent="0.25">
      <c r="A27" s="25" t="s">
        <v>36</v>
      </c>
      <c r="B27" s="28">
        <f t="shared" ref="B27:G27" si="9">(((B16)-(B26))+(0))-(0)</f>
        <v>-123.02</v>
      </c>
      <c r="C27" s="28">
        <f t="shared" si="9"/>
        <v>-97.34</v>
      </c>
      <c r="D27" s="28">
        <f t="shared" si="9"/>
        <v>-165.07</v>
      </c>
      <c r="E27" s="28">
        <f t="shared" si="9"/>
        <v>-184.25</v>
      </c>
      <c r="F27" s="28">
        <f t="shared" si="9"/>
        <v>-378.71</v>
      </c>
      <c r="G27" s="28">
        <f t="shared" si="9"/>
        <v>-107.77</v>
      </c>
      <c r="H27" s="28">
        <f t="shared" si="6"/>
        <v>-1056.1600000000001</v>
      </c>
    </row>
    <row r="28" spans="1:8" x14ac:dyDescent="0.25">
      <c r="A28" s="25"/>
      <c r="B28" s="26"/>
      <c r="C28" s="26"/>
      <c r="D28" s="26"/>
      <c r="E28" s="26"/>
      <c r="F28" s="26"/>
      <c r="G28" s="26"/>
      <c r="H28" s="26"/>
    </row>
    <row r="31" spans="1:8" x14ac:dyDescent="0.25">
      <c r="A31" s="29" t="s">
        <v>81</v>
      </c>
      <c r="B31" s="2"/>
      <c r="C31" s="2"/>
      <c r="D31" s="2"/>
      <c r="E31" s="2"/>
      <c r="F31" s="2"/>
      <c r="G31" s="2"/>
      <c r="H31" s="2"/>
    </row>
  </sheetData>
  <mergeCells count="4">
    <mergeCell ref="A1:H1"/>
    <mergeCell ref="A2:H2"/>
    <mergeCell ref="A3:H3"/>
    <mergeCell ref="A31:H3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5871A-2DC2-48A8-8C74-0694397675DC}">
  <dimension ref="A1:H38"/>
  <sheetViews>
    <sheetView topLeftCell="A13" workbookViewId="0">
      <selection activeCell="G14" sqref="G14"/>
    </sheetView>
  </sheetViews>
  <sheetFormatPr defaultRowHeight="15" x14ac:dyDescent="0.25"/>
  <cols>
    <col min="1" max="1" width="30.140625" customWidth="1"/>
    <col min="2" max="7" width="8.570312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82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5052.09</f>
        <v>5052.09</v>
      </c>
      <c r="C9" s="27">
        <f>5147.12</f>
        <v>5147.12</v>
      </c>
      <c r="D9" s="27">
        <f>5476.47</f>
        <v>5476.47</v>
      </c>
      <c r="E9" s="27">
        <f>9453.73</f>
        <v>9453.73</v>
      </c>
      <c r="F9" s="27">
        <f>8750.1</f>
        <v>8750.1</v>
      </c>
      <c r="G9" s="27">
        <f>5763.52</f>
        <v>5763.52</v>
      </c>
      <c r="H9" s="27">
        <f t="shared" si="0"/>
        <v>39643.03</v>
      </c>
    </row>
    <row r="10" spans="1:8" x14ac:dyDescent="0.25">
      <c r="A10" s="25" t="s">
        <v>14</v>
      </c>
      <c r="B10" s="28">
        <f t="shared" ref="B10:G10" si="1">(B8)+(B9)</f>
        <v>5052.09</v>
      </c>
      <c r="C10" s="28">
        <f t="shared" si="1"/>
        <v>5147.12</v>
      </c>
      <c r="D10" s="28">
        <f t="shared" si="1"/>
        <v>5476.47</v>
      </c>
      <c r="E10" s="28">
        <f t="shared" si="1"/>
        <v>9453.73</v>
      </c>
      <c r="F10" s="28">
        <f t="shared" si="1"/>
        <v>8750.1</v>
      </c>
      <c r="G10" s="28">
        <f t="shared" si="1"/>
        <v>5763.52</v>
      </c>
      <c r="H10" s="28">
        <f t="shared" si="0"/>
        <v>39643.03</v>
      </c>
    </row>
    <row r="11" spans="1:8" x14ac:dyDescent="0.25">
      <c r="A11" s="25" t="s">
        <v>15</v>
      </c>
      <c r="B11" s="28">
        <f t="shared" ref="B11:G11" si="2">(B7)+(B10)</f>
        <v>5052.09</v>
      </c>
      <c r="C11" s="28">
        <f t="shared" si="2"/>
        <v>5147.12</v>
      </c>
      <c r="D11" s="28">
        <f t="shared" si="2"/>
        <v>5476.47</v>
      </c>
      <c r="E11" s="28">
        <f t="shared" si="2"/>
        <v>9453.73</v>
      </c>
      <c r="F11" s="28">
        <f t="shared" si="2"/>
        <v>8750.1</v>
      </c>
      <c r="G11" s="28">
        <f t="shared" si="2"/>
        <v>5763.52</v>
      </c>
      <c r="H11" s="28">
        <f t="shared" si="0"/>
        <v>39643.03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f t="shared" si="0"/>
        <v>0</v>
      </c>
    </row>
    <row r="14" spans="1:8" x14ac:dyDescent="0.25">
      <c r="A14" s="25" t="s">
        <v>41</v>
      </c>
      <c r="B14" s="28">
        <f t="shared" ref="B14:G14" si="3">(B12)+(B13)</f>
        <v>0</v>
      </c>
      <c r="C14" s="28">
        <f t="shared" si="3"/>
        <v>0</v>
      </c>
      <c r="D14" s="28">
        <f t="shared" si="3"/>
        <v>0</v>
      </c>
      <c r="E14" s="28">
        <f t="shared" si="3"/>
        <v>0</v>
      </c>
      <c r="F14" s="28">
        <f t="shared" si="3"/>
        <v>0</v>
      </c>
      <c r="G14" s="28">
        <f t="shared" si="3"/>
        <v>0</v>
      </c>
      <c r="H14" s="28">
        <f t="shared" si="0"/>
        <v>0</v>
      </c>
    </row>
    <row r="15" spans="1:8" x14ac:dyDescent="0.25">
      <c r="A15" s="25" t="s">
        <v>16</v>
      </c>
      <c r="B15" s="28">
        <f t="shared" ref="B15:G15" si="4">(B11)+(B14)</f>
        <v>5052.09</v>
      </c>
      <c r="C15" s="28">
        <f t="shared" si="4"/>
        <v>5147.12</v>
      </c>
      <c r="D15" s="28">
        <f t="shared" si="4"/>
        <v>5476.47</v>
      </c>
      <c r="E15" s="28">
        <f t="shared" si="4"/>
        <v>9453.73</v>
      </c>
      <c r="F15" s="28">
        <f t="shared" si="4"/>
        <v>8750.1</v>
      </c>
      <c r="G15" s="28">
        <f t="shared" si="4"/>
        <v>5763.52</v>
      </c>
      <c r="H15" s="28">
        <f t="shared" si="0"/>
        <v>39643.03</v>
      </c>
    </row>
    <row r="16" spans="1:8" x14ac:dyDescent="0.25">
      <c r="A16" s="25" t="s">
        <v>17</v>
      </c>
      <c r="B16" s="28">
        <f t="shared" ref="B16:G16" si="5">(B15)-(0)</f>
        <v>5052.09</v>
      </c>
      <c r="C16" s="28">
        <f t="shared" si="5"/>
        <v>5147.12</v>
      </c>
      <c r="D16" s="28">
        <f t="shared" si="5"/>
        <v>5476.47</v>
      </c>
      <c r="E16" s="28">
        <f t="shared" si="5"/>
        <v>9453.73</v>
      </c>
      <c r="F16" s="28">
        <f t="shared" si="5"/>
        <v>8750.1</v>
      </c>
      <c r="G16" s="28">
        <f t="shared" si="5"/>
        <v>5763.52</v>
      </c>
      <c r="H16" s="28">
        <f t="shared" si="0"/>
        <v>39643.03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34" si="6">(((((B18)+(C18))+(D18))+(E18))+(F18))+(G18)</f>
        <v>0</v>
      </c>
    </row>
    <row r="19" spans="1:8" x14ac:dyDescent="0.25">
      <c r="A19" s="25" t="s">
        <v>21</v>
      </c>
      <c r="B19" s="27">
        <f>505.46</f>
        <v>505.46</v>
      </c>
      <c r="C19" s="27">
        <f>334.55</f>
        <v>334.55</v>
      </c>
      <c r="D19" s="27">
        <f>430.45</f>
        <v>430.45</v>
      </c>
      <c r="E19" s="27">
        <f>395.45</f>
        <v>395.45</v>
      </c>
      <c r="F19" s="27">
        <f>385</f>
        <v>385</v>
      </c>
      <c r="G19" s="27">
        <f>812.28</f>
        <v>812.28</v>
      </c>
      <c r="H19" s="27">
        <f t="shared" si="6"/>
        <v>2863.1899999999996</v>
      </c>
    </row>
    <row r="20" spans="1:8" x14ac:dyDescent="0.25">
      <c r="A20" s="25" t="s">
        <v>22</v>
      </c>
      <c r="B20" s="27">
        <f>290.65</f>
        <v>290.64999999999998</v>
      </c>
      <c r="C20" s="27">
        <f>466.67</f>
        <v>466.67</v>
      </c>
      <c r="D20" s="27">
        <f>354.09</f>
        <v>354.09</v>
      </c>
      <c r="E20" s="27">
        <f>281.77</f>
        <v>281.77</v>
      </c>
      <c r="F20" s="27">
        <f>363.77</f>
        <v>363.77</v>
      </c>
      <c r="G20" s="27">
        <f>317.5</f>
        <v>317.5</v>
      </c>
      <c r="H20" s="27">
        <f t="shared" si="6"/>
        <v>2074.4499999999998</v>
      </c>
    </row>
    <row r="21" spans="1:8" x14ac:dyDescent="0.25">
      <c r="A21" s="25" t="s">
        <v>24</v>
      </c>
      <c r="B21" s="26"/>
      <c r="C21" s="26"/>
      <c r="D21" s="26"/>
      <c r="E21" s="26"/>
      <c r="F21" s="26"/>
      <c r="G21" s="26"/>
      <c r="H21" s="27">
        <f t="shared" si="6"/>
        <v>0</v>
      </c>
    </row>
    <row r="22" spans="1:8" x14ac:dyDescent="0.25">
      <c r="A22" s="25" t="s">
        <v>25</v>
      </c>
      <c r="B22" s="26"/>
      <c r="C22" s="26"/>
      <c r="D22" s="27">
        <f>4560</f>
        <v>4560</v>
      </c>
      <c r="E22" s="26"/>
      <c r="F22" s="26"/>
      <c r="G22" s="26"/>
      <c r="H22" s="27">
        <f t="shared" si="6"/>
        <v>4560</v>
      </c>
    </row>
    <row r="23" spans="1:8" x14ac:dyDescent="0.25">
      <c r="A23" s="25" t="s">
        <v>26</v>
      </c>
      <c r="B23" s="28">
        <f t="shared" ref="B23:G23" si="7">(B21)+(B22)</f>
        <v>0</v>
      </c>
      <c r="C23" s="28">
        <f t="shared" si="7"/>
        <v>0</v>
      </c>
      <c r="D23" s="28">
        <f t="shared" si="7"/>
        <v>4560</v>
      </c>
      <c r="E23" s="28">
        <f t="shared" si="7"/>
        <v>0</v>
      </c>
      <c r="F23" s="28">
        <f t="shared" si="7"/>
        <v>0</v>
      </c>
      <c r="G23" s="28">
        <f t="shared" si="7"/>
        <v>0</v>
      </c>
      <c r="H23" s="28">
        <f t="shared" si="6"/>
        <v>4560</v>
      </c>
    </row>
    <row r="24" spans="1:8" x14ac:dyDescent="0.25">
      <c r="A24" s="25" t="s">
        <v>27</v>
      </c>
      <c r="B24" s="26"/>
      <c r="C24" s="26"/>
      <c r="D24" s="27">
        <f>57.3</f>
        <v>57.3</v>
      </c>
      <c r="E24" s="26"/>
      <c r="F24" s="27">
        <f>138.48</f>
        <v>138.47999999999999</v>
      </c>
      <c r="G24" s="26"/>
      <c r="H24" s="27">
        <f t="shared" si="6"/>
        <v>195.77999999999997</v>
      </c>
    </row>
    <row r="25" spans="1:8" x14ac:dyDescent="0.25">
      <c r="A25" s="25" t="s">
        <v>28</v>
      </c>
      <c r="B25" s="26"/>
      <c r="C25" s="26"/>
      <c r="D25" s="26"/>
      <c r="E25" s="26"/>
      <c r="F25" s="26"/>
      <c r="G25" s="27">
        <f>55.12</f>
        <v>55.12</v>
      </c>
      <c r="H25" s="27">
        <f t="shared" si="6"/>
        <v>55.12</v>
      </c>
    </row>
    <row r="26" spans="1:8" x14ac:dyDescent="0.25">
      <c r="A26" s="25" t="s">
        <v>30</v>
      </c>
      <c r="B26" s="26"/>
      <c r="C26" s="26"/>
      <c r="D26" s="26"/>
      <c r="E26" s="26"/>
      <c r="F26" s="27">
        <f>115.91</f>
        <v>115.91</v>
      </c>
      <c r="G26" s="26"/>
      <c r="H26" s="27">
        <f t="shared" si="6"/>
        <v>115.91</v>
      </c>
    </row>
    <row r="27" spans="1:8" x14ac:dyDescent="0.25">
      <c r="A27" s="25" t="s">
        <v>42</v>
      </c>
      <c r="B27" s="26"/>
      <c r="C27" s="26"/>
      <c r="D27" s="26"/>
      <c r="E27" s="26"/>
      <c r="F27" s="27">
        <f>335.8</f>
        <v>335.8</v>
      </c>
      <c r="G27" s="26"/>
      <c r="H27" s="27">
        <f t="shared" si="6"/>
        <v>335.8</v>
      </c>
    </row>
    <row r="28" spans="1:8" x14ac:dyDescent="0.25">
      <c r="A28" s="25" t="s">
        <v>64</v>
      </c>
      <c r="B28" s="27">
        <f>163.62</f>
        <v>163.62</v>
      </c>
      <c r="C28" s="26"/>
      <c r="D28" s="26"/>
      <c r="E28" s="26"/>
      <c r="F28" s="26"/>
      <c r="G28" s="26"/>
      <c r="H28" s="27">
        <f t="shared" si="6"/>
        <v>163.62</v>
      </c>
    </row>
    <row r="29" spans="1:8" x14ac:dyDescent="0.25">
      <c r="A29" s="25" t="s">
        <v>31</v>
      </c>
      <c r="B29" s="26"/>
      <c r="C29" s="26"/>
      <c r="D29" s="26"/>
      <c r="E29" s="26"/>
      <c r="F29" s="26"/>
      <c r="G29" s="27">
        <f>40.57</f>
        <v>40.57</v>
      </c>
      <c r="H29" s="27">
        <f t="shared" si="6"/>
        <v>40.57</v>
      </c>
    </row>
    <row r="30" spans="1:8" x14ac:dyDescent="0.25">
      <c r="A30" s="25" t="s">
        <v>32</v>
      </c>
      <c r="B30" s="26"/>
      <c r="C30" s="26"/>
      <c r="D30" s="26"/>
      <c r="E30" s="27">
        <f>79.95</f>
        <v>79.95</v>
      </c>
      <c r="F30" s="26"/>
      <c r="G30" s="26"/>
      <c r="H30" s="27">
        <f t="shared" si="6"/>
        <v>79.95</v>
      </c>
    </row>
    <row r="31" spans="1:8" x14ac:dyDescent="0.25">
      <c r="A31" s="25" t="s">
        <v>33</v>
      </c>
      <c r="B31" s="27">
        <f>271.41</f>
        <v>271.41000000000003</v>
      </c>
      <c r="C31" s="27">
        <f>252.75</f>
        <v>252.75</v>
      </c>
      <c r="D31" s="27">
        <f>239.93</f>
        <v>239.93</v>
      </c>
      <c r="E31" s="27">
        <f>373.25</f>
        <v>373.25</v>
      </c>
      <c r="F31" s="27">
        <f>391.98</f>
        <v>391.98</v>
      </c>
      <c r="G31" s="27">
        <f>622.96</f>
        <v>622.96</v>
      </c>
      <c r="H31" s="27">
        <f t="shared" si="6"/>
        <v>2152.2800000000002</v>
      </c>
    </row>
    <row r="32" spans="1:8" x14ac:dyDescent="0.25">
      <c r="A32" s="25" t="s">
        <v>34</v>
      </c>
      <c r="B32" s="28">
        <f t="shared" ref="B32:G32" si="8">(((((((((((B18)+(B19))+(B20))+(B23))+(B24))+(B25))+(B26))+(B27))+(B28))+(B29))+(B30))+(B31)</f>
        <v>1231.1399999999999</v>
      </c>
      <c r="C32" s="28">
        <f t="shared" si="8"/>
        <v>1053.97</v>
      </c>
      <c r="D32" s="28">
        <f t="shared" si="8"/>
        <v>5641.77</v>
      </c>
      <c r="E32" s="28">
        <f t="shared" si="8"/>
        <v>1130.42</v>
      </c>
      <c r="F32" s="28">
        <f t="shared" si="8"/>
        <v>1730.94</v>
      </c>
      <c r="G32" s="28">
        <f t="shared" si="8"/>
        <v>1848.4299999999998</v>
      </c>
      <c r="H32" s="28">
        <f t="shared" si="6"/>
        <v>12636.67</v>
      </c>
    </row>
    <row r="33" spans="1:8" x14ac:dyDescent="0.25">
      <c r="A33" s="25" t="s">
        <v>35</v>
      </c>
      <c r="B33" s="28">
        <f t="shared" ref="B33:G33" si="9">B32</f>
        <v>1231.1399999999999</v>
      </c>
      <c r="C33" s="28">
        <f t="shared" si="9"/>
        <v>1053.97</v>
      </c>
      <c r="D33" s="28">
        <f t="shared" si="9"/>
        <v>5641.77</v>
      </c>
      <c r="E33" s="28">
        <f t="shared" si="9"/>
        <v>1130.42</v>
      </c>
      <c r="F33" s="28">
        <f t="shared" si="9"/>
        <v>1730.94</v>
      </c>
      <c r="G33" s="28">
        <f t="shared" si="9"/>
        <v>1848.4299999999998</v>
      </c>
      <c r="H33" s="28">
        <f t="shared" si="6"/>
        <v>12636.67</v>
      </c>
    </row>
    <row r="34" spans="1:8" x14ac:dyDescent="0.25">
      <c r="A34" s="25" t="s">
        <v>36</v>
      </c>
      <c r="B34" s="28">
        <f t="shared" ref="B34:G34" si="10">(((B16)-(B33))+(0))-(0)</f>
        <v>3820.9500000000003</v>
      </c>
      <c r="C34" s="28">
        <f t="shared" si="10"/>
        <v>4093.1499999999996</v>
      </c>
      <c r="D34" s="28">
        <f t="shared" si="10"/>
        <v>-165.30000000000018</v>
      </c>
      <c r="E34" s="28">
        <f t="shared" si="10"/>
        <v>8323.31</v>
      </c>
      <c r="F34" s="28">
        <f t="shared" si="10"/>
        <v>7019.16</v>
      </c>
      <c r="G34" s="28">
        <f t="shared" si="10"/>
        <v>3915.0900000000006</v>
      </c>
      <c r="H34" s="28">
        <f t="shared" si="6"/>
        <v>27006.36</v>
      </c>
    </row>
    <row r="35" spans="1:8" x14ac:dyDescent="0.25">
      <c r="A35" s="25"/>
      <c r="B35" s="26"/>
      <c r="C35" s="26"/>
      <c r="D35" s="26"/>
      <c r="E35" s="26"/>
      <c r="F35" s="26"/>
      <c r="G35" s="26"/>
      <c r="H35" s="26"/>
    </row>
    <row r="38" spans="1:8" x14ac:dyDescent="0.25">
      <c r="A38" s="29" t="s">
        <v>83</v>
      </c>
      <c r="B38" s="2"/>
      <c r="C38" s="2"/>
      <c r="D38" s="2"/>
      <c r="E38" s="2"/>
      <c r="F38" s="2"/>
      <c r="G38" s="2"/>
      <c r="H38" s="2"/>
    </row>
  </sheetData>
  <mergeCells count="4">
    <mergeCell ref="A1:H1"/>
    <mergeCell ref="A2:H2"/>
    <mergeCell ref="A3:H3"/>
    <mergeCell ref="A38:H3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FC17E-7DF4-4414-B0BF-5BDDEA4E0358}">
  <dimension ref="A1:N25"/>
  <sheetViews>
    <sheetView workbookViewId="0">
      <selection activeCell="I13" sqref="I13"/>
    </sheetView>
  </sheetViews>
  <sheetFormatPr defaultRowHeight="15" x14ac:dyDescent="0.25"/>
  <cols>
    <col min="1" max="1" width="30.140625" customWidth="1"/>
    <col min="2" max="4" width="10.28515625" customWidth="1"/>
    <col min="5" max="5" width="9.28515625" bestFit="1" customWidth="1"/>
    <col min="6" max="6" width="10.140625" bestFit="1" customWidth="1"/>
    <col min="7" max="9" width="9.28515625" bestFit="1" customWidth="1"/>
    <col min="10" max="13" width="9.28515625" customWidth="1"/>
    <col min="14" max="14" width="10.28515625" customWidth="1"/>
  </cols>
  <sheetData>
    <row r="1" spans="1:14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x14ac:dyDescent="0.25">
      <c r="A2" s="1" t="s">
        <v>84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3" t="str">
        <f>+'[1]100 5-30-9-7 '!A3:N3</f>
        <v xml:space="preserve">January 2019 - 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5" spans="1:14" x14ac:dyDescent="0.25">
      <c r="A5" s="4"/>
      <c r="B5" s="15">
        <v>43466</v>
      </c>
      <c r="C5" s="15">
        <v>43514</v>
      </c>
      <c r="D5" s="15">
        <v>43542</v>
      </c>
      <c r="E5" s="15">
        <v>43573</v>
      </c>
      <c r="F5" s="15">
        <v>43603</v>
      </c>
      <c r="G5" s="15">
        <v>43634</v>
      </c>
      <c r="H5" s="15">
        <v>43664</v>
      </c>
      <c r="I5" s="15">
        <v>43695</v>
      </c>
      <c r="J5" s="15">
        <v>43726</v>
      </c>
      <c r="K5" s="15">
        <v>43756</v>
      </c>
      <c r="L5" s="15">
        <v>43787</v>
      </c>
      <c r="M5" s="15">
        <v>43817</v>
      </c>
      <c r="N5" s="5" t="s">
        <v>9</v>
      </c>
    </row>
    <row r="6" spans="1:14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30"/>
    </row>
    <row r="7" spans="1:14" x14ac:dyDescent="0.25">
      <c r="A7" s="6" t="s">
        <v>59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9"/>
    </row>
    <row r="8" spans="1:14" x14ac:dyDescent="0.25">
      <c r="A8" s="6" t="s">
        <v>60</v>
      </c>
      <c r="B8" s="9">
        <f t="shared" ref="B8:M8" si="0">(B7)-(0)</f>
        <v>0</v>
      </c>
      <c r="C8" s="9">
        <f t="shared" si="0"/>
        <v>0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9">
        <f t="shared" si="0"/>
        <v>0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>SUM(B8:M8)</f>
        <v>0</v>
      </c>
    </row>
    <row r="9" spans="1:14" x14ac:dyDescent="0.25">
      <c r="A9" s="6" t="s">
        <v>85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 t="s">
        <v>86</v>
      </c>
      <c r="N9" s="7"/>
    </row>
    <row r="10" spans="1:14" x14ac:dyDescent="0.25">
      <c r="A10" s="6" t="s">
        <v>19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8"/>
    </row>
    <row r="11" spans="1:14" x14ac:dyDescent="0.25">
      <c r="A11" s="6" t="s">
        <v>21</v>
      </c>
      <c r="B11" s="8">
        <v>430.45</v>
      </c>
      <c r="C11" s="8">
        <v>334.55</v>
      </c>
      <c r="D11" s="8">
        <v>430.45</v>
      </c>
      <c r="E11" s="8">
        <v>395.45</v>
      </c>
      <c r="F11" s="8">
        <v>385</v>
      </c>
      <c r="G11" s="7">
        <v>812.28</v>
      </c>
      <c r="H11" s="7"/>
      <c r="I11" s="8"/>
      <c r="J11" s="8"/>
      <c r="K11" s="8"/>
      <c r="L11" s="8"/>
      <c r="M11" s="8"/>
      <c r="N11" s="8">
        <f t="shared" ref="N11:N21" si="1">SUM(B11:M11)</f>
        <v>2788.1800000000003</v>
      </c>
    </row>
    <row r="12" spans="1:14" x14ac:dyDescent="0.25">
      <c r="A12" s="6" t="s">
        <v>22</v>
      </c>
      <c r="B12" s="8">
        <v>567.77</v>
      </c>
      <c r="C12" s="8">
        <v>707.3</v>
      </c>
      <c r="D12" s="8">
        <v>233.11</v>
      </c>
      <c r="E12" s="8">
        <v>120.2</v>
      </c>
      <c r="F12" s="7">
        <v>225.8</v>
      </c>
      <c r="G12" s="8">
        <v>220.25</v>
      </c>
      <c r="H12" s="8"/>
      <c r="I12" s="8"/>
      <c r="J12" s="8"/>
      <c r="K12" s="8"/>
      <c r="L12" s="8"/>
      <c r="M12" s="8"/>
      <c r="N12" s="8">
        <f t="shared" si="1"/>
        <v>2074.4299999999998</v>
      </c>
    </row>
    <row r="13" spans="1:14" x14ac:dyDescent="0.25">
      <c r="A13" s="6" t="s">
        <v>27</v>
      </c>
      <c r="B13" s="8"/>
      <c r="C13" s="8"/>
      <c r="D13" s="8">
        <v>57.3</v>
      </c>
      <c r="E13" s="7"/>
      <c r="F13" s="7">
        <v>219.76</v>
      </c>
      <c r="G13" s="7"/>
      <c r="H13" s="7"/>
      <c r="I13" s="7"/>
      <c r="J13" s="7"/>
      <c r="K13" s="7"/>
      <c r="L13" s="7"/>
      <c r="M13" s="7"/>
      <c r="N13" s="8">
        <f t="shared" si="1"/>
        <v>277.06</v>
      </c>
    </row>
    <row r="14" spans="1:14" x14ac:dyDescent="0.25">
      <c r="A14" s="6" t="s">
        <v>87</v>
      </c>
      <c r="B14" s="8"/>
      <c r="C14" s="8"/>
      <c r="D14" s="8"/>
      <c r="E14" s="7"/>
      <c r="F14" s="7"/>
      <c r="G14" s="7"/>
      <c r="H14" s="7"/>
      <c r="I14" s="7"/>
      <c r="J14" s="7"/>
      <c r="K14" s="7"/>
      <c r="L14" s="7"/>
      <c r="M14" s="7"/>
      <c r="N14" s="8"/>
    </row>
    <row r="15" spans="1:14" x14ac:dyDescent="0.25">
      <c r="A15" s="6" t="s">
        <v>29</v>
      </c>
      <c r="B15" s="7"/>
      <c r="C15" s="8"/>
      <c r="D15" s="8">
        <v>760</v>
      </c>
      <c r="E15" s="8"/>
      <c r="F15" s="7"/>
      <c r="G15" s="7"/>
      <c r="H15" s="7"/>
      <c r="I15" s="8"/>
      <c r="J15" s="8"/>
      <c r="K15" s="8"/>
      <c r="L15" s="8"/>
      <c r="M15" s="8"/>
      <c r="N15" s="8">
        <f t="shared" si="1"/>
        <v>760</v>
      </c>
    </row>
    <row r="16" spans="1:14" x14ac:dyDescent="0.25">
      <c r="A16" s="6" t="s">
        <v>30</v>
      </c>
      <c r="B16" s="7"/>
      <c r="C16" s="8"/>
      <c r="D16" s="8"/>
      <c r="E16" s="8"/>
      <c r="F16" s="7">
        <v>115.91</v>
      </c>
      <c r="G16" s="7"/>
      <c r="H16" s="7"/>
      <c r="I16" s="8"/>
      <c r="J16" s="8"/>
      <c r="K16" s="8"/>
      <c r="L16" s="8"/>
      <c r="M16" s="8"/>
      <c r="N16" s="8">
        <f t="shared" si="1"/>
        <v>115.91</v>
      </c>
    </row>
    <row r="17" spans="1:14" x14ac:dyDescent="0.25">
      <c r="A17" s="6" t="s">
        <v>33</v>
      </c>
      <c r="B17" s="7">
        <v>975</v>
      </c>
      <c r="C17" s="8"/>
      <c r="D17" s="8"/>
      <c r="E17" s="8"/>
      <c r="F17" s="7"/>
      <c r="G17" s="7"/>
      <c r="H17" s="7"/>
      <c r="I17" s="8"/>
      <c r="J17" s="8"/>
      <c r="K17" s="8"/>
      <c r="L17" s="8"/>
      <c r="M17" s="8"/>
      <c r="N17" s="8">
        <f t="shared" si="1"/>
        <v>975</v>
      </c>
    </row>
    <row r="18" spans="1:14" x14ac:dyDescent="0.25">
      <c r="A18" s="6" t="s">
        <v>65</v>
      </c>
      <c r="B18" s="7">
        <v>16171.38</v>
      </c>
      <c r="C18" s="8"/>
      <c r="D18" s="8"/>
      <c r="E18" s="8"/>
      <c r="F18" s="7">
        <v>11582.5</v>
      </c>
      <c r="G18" s="7"/>
      <c r="H18" s="7"/>
      <c r="I18" s="8"/>
      <c r="J18" s="8"/>
      <c r="K18" s="8"/>
      <c r="L18" s="8"/>
      <c r="M18" s="8"/>
      <c r="N18" s="8">
        <f t="shared" si="1"/>
        <v>27753.879999999997</v>
      </c>
    </row>
    <row r="19" spans="1:14" x14ac:dyDescent="0.25">
      <c r="A19" s="6" t="s">
        <v>34</v>
      </c>
      <c r="B19" s="9">
        <f>+B11+B12+B13+B14+B15+B16+B18+B17</f>
        <v>18144.599999999999</v>
      </c>
      <c r="C19" s="9">
        <f t="shared" ref="C19:M19" si="2">+C11+C12+C13+C14+C15+C16+C18+C17</f>
        <v>1041.8499999999999</v>
      </c>
      <c r="D19" s="9">
        <f t="shared" si="2"/>
        <v>1480.86</v>
      </c>
      <c r="E19" s="9">
        <f t="shared" si="2"/>
        <v>515.65</v>
      </c>
      <c r="F19" s="9">
        <f t="shared" si="2"/>
        <v>12528.97</v>
      </c>
      <c r="G19" s="9">
        <f t="shared" si="2"/>
        <v>1032.53</v>
      </c>
      <c r="H19" s="9">
        <f t="shared" si="2"/>
        <v>0</v>
      </c>
      <c r="I19" s="9">
        <f t="shared" si="2"/>
        <v>0</v>
      </c>
      <c r="J19" s="9">
        <f t="shared" si="2"/>
        <v>0</v>
      </c>
      <c r="K19" s="9">
        <f t="shared" si="2"/>
        <v>0</v>
      </c>
      <c r="L19" s="9">
        <f t="shared" si="2"/>
        <v>0</v>
      </c>
      <c r="M19" s="9">
        <f t="shared" si="2"/>
        <v>0</v>
      </c>
      <c r="N19" s="18">
        <f t="shared" si="1"/>
        <v>34744.46</v>
      </c>
    </row>
    <row r="20" spans="1:14" x14ac:dyDescent="0.25">
      <c r="A20" s="6" t="s">
        <v>35</v>
      </c>
      <c r="B20" s="9">
        <f t="shared" ref="B20:M20" si="3">B19</f>
        <v>18144.599999999999</v>
      </c>
      <c r="C20" s="9">
        <f t="shared" si="3"/>
        <v>1041.8499999999999</v>
      </c>
      <c r="D20" s="9">
        <f t="shared" si="3"/>
        <v>1480.86</v>
      </c>
      <c r="E20" s="9">
        <f t="shared" si="3"/>
        <v>515.65</v>
      </c>
      <c r="F20" s="9">
        <f t="shared" si="3"/>
        <v>12528.97</v>
      </c>
      <c r="G20" s="9">
        <f t="shared" si="3"/>
        <v>1032.53</v>
      </c>
      <c r="H20" s="9">
        <f t="shared" si="3"/>
        <v>0</v>
      </c>
      <c r="I20" s="9">
        <f t="shared" si="3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18">
        <f t="shared" si="1"/>
        <v>34744.46</v>
      </c>
    </row>
    <row r="21" spans="1:14" x14ac:dyDescent="0.25">
      <c r="A21" s="6" t="s">
        <v>66</v>
      </c>
      <c r="B21" s="9">
        <f>(((B8)-(B20))+(0))-(0)</f>
        <v>-18144.599999999999</v>
      </c>
      <c r="C21" s="9">
        <f t="shared" ref="C21:M21" si="4">(((C8)-(C20))+(0))-(0)</f>
        <v>-1041.8499999999999</v>
      </c>
      <c r="D21" s="9">
        <f t="shared" si="4"/>
        <v>-1480.86</v>
      </c>
      <c r="E21" s="9">
        <f t="shared" si="4"/>
        <v>-515.65</v>
      </c>
      <c r="F21" s="9">
        <f t="shared" si="4"/>
        <v>-12528.97</v>
      </c>
      <c r="G21" s="9">
        <f t="shared" si="4"/>
        <v>-1032.53</v>
      </c>
      <c r="H21" s="9">
        <f t="shared" si="4"/>
        <v>0</v>
      </c>
      <c r="I21" s="9">
        <f t="shared" si="4"/>
        <v>0</v>
      </c>
      <c r="J21" s="9">
        <f t="shared" si="4"/>
        <v>0</v>
      </c>
      <c r="K21" s="9">
        <f t="shared" si="4"/>
        <v>0</v>
      </c>
      <c r="L21" s="9">
        <f t="shared" si="4"/>
        <v>0</v>
      </c>
      <c r="M21" s="9">
        <f t="shared" si="4"/>
        <v>0</v>
      </c>
      <c r="N21" s="20">
        <f t="shared" si="1"/>
        <v>-34744.46</v>
      </c>
    </row>
    <row r="22" spans="1:14" x14ac:dyDescent="0.2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5" spans="1:14" x14ac:dyDescent="0.25">
      <c r="A25" s="1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</sheetData>
  <mergeCells count="4">
    <mergeCell ref="A1:N1"/>
    <mergeCell ref="A2:N2"/>
    <mergeCell ref="A3:N3"/>
    <mergeCell ref="A25:N2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85F10-51A1-4C8F-8864-3EA8FE4EC172}">
  <dimension ref="A1:H35"/>
  <sheetViews>
    <sheetView topLeftCell="A13" workbookViewId="0">
      <selection activeCell="G21" sqref="G21"/>
    </sheetView>
  </sheetViews>
  <sheetFormatPr defaultRowHeight="15" x14ac:dyDescent="0.25"/>
  <cols>
    <col min="1" max="1" width="30.140625" customWidth="1"/>
    <col min="2" max="7" width="8.570312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88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8417.29</f>
        <v>8417.2900000000009</v>
      </c>
      <c r="C9" s="27">
        <f>3379.3</f>
        <v>3379.3</v>
      </c>
      <c r="D9" s="27">
        <f>4849.64</f>
        <v>4849.6400000000003</v>
      </c>
      <c r="E9" s="27">
        <f>4992.18</f>
        <v>4992.18</v>
      </c>
      <c r="F9" s="27">
        <f>4620.62</f>
        <v>4620.62</v>
      </c>
      <c r="G9" s="27">
        <f>4846.92</f>
        <v>4846.92</v>
      </c>
      <c r="H9" s="27">
        <f t="shared" si="0"/>
        <v>31105.949999999997</v>
      </c>
    </row>
    <row r="10" spans="1:8" x14ac:dyDescent="0.25">
      <c r="A10" s="25" t="s">
        <v>14</v>
      </c>
      <c r="B10" s="28">
        <f t="shared" ref="B10:G10" si="1">(B8)+(B9)</f>
        <v>8417.2900000000009</v>
      </c>
      <c r="C10" s="28">
        <f t="shared" si="1"/>
        <v>3379.3</v>
      </c>
      <c r="D10" s="28">
        <f t="shared" si="1"/>
        <v>4849.6400000000003</v>
      </c>
      <c r="E10" s="28">
        <f t="shared" si="1"/>
        <v>4992.18</v>
      </c>
      <c r="F10" s="28">
        <f t="shared" si="1"/>
        <v>4620.62</v>
      </c>
      <c r="G10" s="28">
        <f t="shared" si="1"/>
        <v>4846.92</v>
      </c>
      <c r="H10" s="28">
        <f t="shared" si="0"/>
        <v>31105.949999999997</v>
      </c>
    </row>
    <row r="11" spans="1:8" x14ac:dyDescent="0.25">
      <c r="A11" s="25" t="s">
        <v>15</v>
      </c>
      <c r="B11" s="28">
        <f t="shared" ref="B11:G11" si="2">(B7)+(B10)</f>
        <v>8417.2900000000009</v>
      </c>
      <c r="C11" s="28">
        <f t="shared" si="2"/>
        <v>3379.3</v>
      </c>
      <c r="D11" s="28">
        <f t="shared" si="2"/>
        <v>4849.6400000000003</v>
      </c>
      <c r="E11" s="28">
        <f t="shared" si="2"/>
        <v>4992.18</v>
      </c>
      <c r="F11" s="28">
        <f t="shared" si="2"/>
        <v>4620.62</v>
      </c>
      <c r="G11" s="28">
        <f t="shared" si="2"/>
        <v>4846.92</v>
      </c>
      <c r="H11" s="28">
        <f t="shared" si="0"/>
        <v>31105.949999999997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f t="shared" si="0"/>
        <v>0</v>
      </c>
    </row>
    <row r="14" spans="1:8" x14ac:dyDescent="0.25">
      <c r="A14" s="25" t="s">
        <v>41</v>
      </c>
      <c r="B14" s="28">
        <f t="shared" ref="B14:G14" si="3">(B12)+(B13)</f>
        <v>0</v>
      </c>
      <c r="C14" s="28">
        <f t="shared" si="3"/>
        <v>0</v>
      </c>
      <c r="D14" s="28">
        <f t="shared" si="3"/>
        <v>0</v>
      </c>
      <c r="E14" s="28">
        <f t="shared" si="3"/>
        <v>0</v>
      </c>
      <c r="F14" s="28">
        <f t="shared" si="3"/>
        <v>0</v>
      </c>
      <c r="G14" s="28">
        <f t="shared" si="3"/>
        <v>0</v>
      </c>
      <c r="H14" s="28">
        <f t="shared" si="0"/>
        <v>0</v>
      </c>
    </row>
    <row r="15" spans="1:8" x14ac:dyDescent="0.25">
      <c r="A15" s="25" t="s">
        <v>16</v>
      </c>
      <c r="B15" s="28">
        <f t="shared" ref="B15:G15" si="4">(B11)+(B14)</f>
        <v>8417.2900000000009</v>
      </c>
      <c r="C15" s="28">
        <f t="shared" si="4"/>
        <v>3379.3</v>
      </c>
      <c r="D15" s="28">
        <f t="shared" si="4"/>
        <v>4849.6400000000003</v>
      </c>
      <c r="E15" s="28">
        <f t="shared" si="4"/>
        <v>4992.18</v>
      </c>
      <c r="F15" s="28">
        <f t="shared" si="4"/>
        <v>4620.62</v>
      </c>
      <c r="G15" s="28">
        <f t="shared" si="4"/>
        <v>4846.92</v>
      </c>
      <c r="H15" s="28">
        <f t="shared" si="0"/>
        <v>31105.949999999997</v>
      </c>
    </row>
    <row r="16" spans="1:8" x14ac:dyDescent="0.25">
      <c r="A16" s="25" t="s">
        <v>17</v>
      </c>
      <c r="B16" s="28">
        <f t="shared" ref="B16:G16" si="5">(B15)-(0)</f>
        <v>8417.2900000000009</v>
      </c>
      <c r="C16" s="28">
        <f t="shared" si="5"/>
        <v>3379.3</v>
      </c>
      <c r="D16" s="28">
        <f t="shared" si="5"/>
        <v>4849.6400000000003</v>
      </c>
      <c r="E16" s="28">
        <f t="shared" si="5"/>
        <v>4992.18</v>
      </c>
      <c r="F16" s="28">
        <f t="shared" si="5"/>
        <v>4620.62</v>
      </c>
      <c r="G16" s="28">
        <f t="shared" si="5"/>
        <v>4846.92</v>
      </c>
      <c r="H16" s="28">
        <f t="shared" si="0"/>
        <v>31105.949999999997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31" si="6">(((((B18)+(C18))+(D18))+(E18))+(F18))+(G18)</f>
        <v>0</v>
      </c>
    </row>
    <row r="19" spans="1:8" x14ac:dyDescent="0.25">
      <c r="A19" s="25" t="s">
        <v>21</v>
      </c>
      <c r="B19" s="27">
        <f>430.46</f>
        <v>430.46</v>
      </c>
      <c r="C19" s="27">
        <f>334.55</f>
        <v>334.55</v>
      </c>
      <c r="D19" s="27">
        <f>430.45</f>
        <v>430.45</v>
      </c>
      <c r="E19" s="27">
        <f>395.45</f>
        <v>395.45</v>
      </c>
      <c r="F19" s="27">
        <f>385</f>
        <v>385</v>
      </c>
      <c r="G19" s="27">
        <f>812.28</f>
        <v>812.28</v>
      </c>
      <c r="H19" s="27">
        <f t="shared" si="6"/>
        <v>2788.19</v>
      </c>
    </row>
    <row r="20" spans="1:8" x14ac:dyDescent="0.25">
      <c r="A20" s="25" t="s">
        <v>22</v>
      </c>
      <c r="B20" s="27">
        <f>670.2</f>
        <v>670.2</v>
      </c>
      <c r="C20" s="27">
        <f>1125.77</f>
        <v>1125.77</v>
      </c>
      <c r="D20" s="27">
        <f>819.83</f>
        <v>819.83</v>
      </c>
      <c r="E20" s="27">
        <f>661.15</f>
        <v>661.15</v>
      </c>
      <c r="F20" s="27">
        <f>763.27</f>
        <v>763.27</v>
      </c>
      <c r="G20" s="27">
        <f>609.78</f>
        <v>609.78</v>
      </c>
      <c r="H20" s="27">
        <f t="shared" si="6"/>
        <v>4650</v>
      </c>
    </row>
    <row r="21" spans="1:8" x14ac:dyDescent="0.25">
      <c r="A21" s="25" t="s">
        <v>27</v>
      </c>
      <c r="B21" s="26"/>
      <c r="C21" s="26"/>
      <c r="D21" s="27">
        <f>57.3</f>
        <v>57.3</v>
      </c>
      <c r="E21" s="26"/>
      <c r="F21" s="27">
        <f>187.97</f>
        <v>187.97</v>
      </c>
      <c r="G21" s="26"/>
      <c r="H21" s="27">
        <f t="shared" si="6"/>
        <v>245.26999999999998</v>
      </c>
    </row>
    <row r="22" spans="1:8" x14ac:dyDescent="0.25">
      <c r="A22" s="25" t="s">
        <v>28</v>
      </c>
      <c r="B22" s="26"/>
      <c r="C22" s="26"/>
      <c r="D22" s="26"/>
      <c r="E22" s="26"/>
      <c r="F22" s="26"/>
      <c r="G22" s="27">
        <f>118.94</f>
        <v>118.94</v>
      </c>
      <c r="H22" s="27">
        <f t="shared" si="6"/>
        <v>118.94</v>
      </c>
    </row>
    <row r="23" spans="1:8" x14ac:dyDescent="0.25">
      <c r="A23" s="25" t="s">
        <v>29</v>
      </c>
      <c r="B23" s="26"/>
      <c r="C23" s="26"/>
      <c r="D23" s="26"/>
      <c r="E23" s="27">
        <f>142.5</f>
        <v>142.5</v>
      </c>
      <c r="F23" s="26"/>
      <c r="G23" s="26"/>
      <c r="H23" s="27">
        <f t="shared" si="6"/>
        <v>142.5</v>
      </c>
    </row>
    <row r="24" spans="1:8" x14ac:dyDescent="0.25">
      <c r="A24" s="25" t="s">
        <v>30</v>
      </c>
      <c r="B24" s="26"/>
      <c r="C24" s="26"/>
      <c r="D24" s="26"/>
      <c r="E24" s="26"/>
      <c r="F24" s="27">
        <f>115.91</f>
        <v>115.91</v>
      </c>
      <c r="G24" s="26"/>
      <c r="H24" s="27">
        <f t="shared" si="6"/>
        <v>115.91</v>
      </c>
    </row>
    <row r="25" spans="1:8" x14ac:dyDescent="0.25">
      <c r="A25" s="25" t="s">
        <v>42</v>
      </c>
      <c r="B25" s="26"/>
      <c r="C25" s="26"/>
      <c r="D25" s="27">
        <f>812.28</f>
        <v>812.28</v>
      </c>
      <c r="E25" s="26"/>
      <c r="F25" s="26"/>
      <c r="G25" s="26"/>
      <c r="H25" s="27">
        <f t="shared" si="6"/>
        <v>812.28</v>
      </c>
    </row>
    <row r="26" spans="1:8" x14ac:dyDescent="0.25">
      <c r="A26" s="25" t="s">
        <v>31</v>
      </c>
      <c r="B26" s="26"/>
      <c r="C26" s="26"/>
      <c r="D26" s="26"/>
      <c r="E26" s="26"/>
      <c r="F26" s="26"/>
      <c r="G26" s="27">
        <f>87.55</f>
        <v>87.55</v>
      </c>
      <c r="H26" s="27">
        <f t="shared" si="6"/>
        <v>87.55</v>
      </c>
    </row>
    <row r="27" spans="1:8" x14ac:dyDescent="0.25">
      <c r="A27" s="25" t="s">
        <v>32</v>
      </c>
      <c r="B27" s="26"/>
      <c r="C27" s="26"/>
      <c r="D27" s="26"/>
      <c r="E27" s="27">
        <f>79.95</f>
        <v>79.95</v>
      </c>
      <c r="F27" s="26"/>
      <c r="G27" s="26"/>
      <c r="H27" s="27">
        <f t="shared" si="6"/>
        <v>79.95</v>
      </c>
    </row>
    <row r="28" spans="1:8" x14ac:dyDescent="0.25">
      <c r="A28" s="25" t="s">
        <v>33</v>
      </c>
      <c r="B28" s="27">
        <f>452.2</f>
        <v>452.2</v>
      </c>
      <c r="C28" s="27">
        <f>165.94</f>
        <v>165.94</v>
      </c>
      <c r="D28" s="27">
        <f>212.45</f>
        <v>212.45</v>
      </c>
      <c r="E28" s="27">
        <f>197.1</f>
        <v>197.1</v>
      </c>
      <c r="F28" s="27">
        <f>209.35</f>
        <v>209.35</v>
      </c>
      <c r="G28" s="27">
        <f>523.89</f>
        <v>523.89</v>
      </c>
      <c r="H28" s="27">
        <f t="shared" si="6"/>
        <v>1760.9299999999998</v>
      </c>
    </row>
    <row r="29" spans="1:8" x14ac:dyDescent="0.25">
      <c r="A29" s="25" t="s">
        <v>34</v>
      </c>
      <c r="B29" s="28">
        <f>(((((((((((B18)+(B19))+(B20))+(B21))+(B22))+(B23))+(B24))+(B25)))+(B26))+(B27))+(B28)</f>
        <v>1552.8600000000001</v>
      </c>
      <c r="C29" s="28">
        <f t="shared" ref="C29:G29" si="7">(((((((((((C18)+(C19))+(C20))+(C21))+(C22))+(C23))+(C24))+(C25)))+(C26))+(C27))+(C28)</f>
        <v>1626.26</v>
      </c>
      <c r="D29" s="28">
        <f t="shared" si="7"/>
        <v>2332.3099999999995</v>
      </c>
      <c r="E29" s="28">
        <f t="shared" si="7"/>
        <v>1476.1499999999999</v>
      </c>
      <c r="F29" s="28">
        <f t="shared" si="7"/>
        <v>1661.5</v>
      </c>
      <c r="G29" s="28">
        <f t="shared" si="7"/>
        <v>2152.44</v>
      </c>
      <c r="H29" s="28">
        <f t="shared" si="6"/>
        <v>10801.519999999999</v>
      </c>
    </row>
    <row r="30" spans="1:8" x14ac:dyDescent="0.25">
      <c r="A30" s="25" t="s">
        <v>35</v>
      </c>
      <c r="B30" s="28">
        <f t="shared" ref="B30:G30" si="8">B29</f>
        <v>1552.8600000000001</v>
      </c>
      <c r="C30" s="28">
        <f t="shared" ref="C30" si="9">C29</f>
        <v>1626.26</v>
      </c>
      <c r="D30" s="28">
        <f t="shared" ref="D30" si="10">D29</f>
        <v>2332.3099999999995</v>
      </c>
      <c r="E30" s="28">
        <f t="shared" ref="E30" si="11">E29</f>
        <v>1476.1499999999999</v>
      </c>
      <c r="F30" s="28">
        <f t="shared" ref="F30" si="12">F29</f>
        <v>1661.5</v>
      </c>
      <c r="G30" s="28">
        <f t="shared" ref="G30" si="13">G29</f>
        <v>2152.44</v>
      </c>
      <c r="H30" s="28">
        <f t="shared" si="6"/>
        <v>10801.519999999999</v>
      </c>
    </row>
    <row r="31" spans="1:8" x14ac:dyDescent="0.25">
      <c r="A31" s="25" t="s">
        <v>36</v>
      </c>
      <c r="B31" s="28">
        <f>(((B16)-(B30))+(0))-(0)</f>
        <v>6864.43</v>
      </c>
      <c r="C31" s="28">
        <f t="shared" ref="C31:G31" si="14">(((C16)-(C30))+(0))-(0)</f>
        <v>1753.0400000000002</v>
      </c>
      <c r="D31" s="28">
        <f t="shared" si="14"/>
        <v>2517.3300000000008</v>
      </c>
      <c r="E31" s="28">
        <f t="shared" si="14"/>
        <v>3516.0300000000007</v>
      </c>
      <c r="F31" s="28">
        <f t="shared" si="14"/>
        <v>2959.12</v>
      </c>
      <c r="G31" s="28">
        <f t="shared" si="14"/>
        <v>2694.48</v>
      </c>
      <c r="H31" s="28">
        <f t="shared" si="6"/>
        <v>20304.430000000004</v>
      </c>
    </row>
    <row r="32" spans="1:8" x14ac:dyDescent="0.25">
      <c r="A32" s="25"/>
      <c r="B32" s="26"/>
      <c r="C32" s="26"/>
      <c r="D32" s="26"/>
      <c r="E32" s="26"/>
      <c r="F32" s="26"/>
      <c r="G32" s="26"/>
      <c r="H32" s="26"/>
    </row>
    <row r="35" spans="1:8" x14ac:dyDescent="0.25">
      <c r="A35" s="29" t="s">
        <v>90</v>
      </c>
      <c r="B35" s="2"/>
      <c r="C35" s="2"/>
      <c r="D35" s="2"/>
      <c r="E35" s="2"/>
      <c r="F35" s="2"/>
      <c r="G35" s="2"/>
      <c r="H35" s="2"/>
    </row>
  </sheetData>
  <mergeCells count="4">
    <mergeCell ref="A1:H1"/>
    <mergeCell ref="A2:H2"/>
    <mergeCell ref="A3:H3"/>
    <mergeCell ref="A35:H3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D4546-AAB7-49FE-B49C-30B7544CBB82}">
  <dimension ref="A1"/>
  <sheetViews>
    <sheetView workbookViewId="0">
      <selection activeCell="I18" sqref="I18"/>
    </sheetView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5E390-197B-44AF-8597-C45352905FF0}">
  <dimension ref="A1:H20"/>
  <sheetViews>
    <sheetView workbookViewId="0">
      <selection activeCell="J15" sqref="J15"/>
    </sheetView>
  </sheetViews>
  <sheetFormatPr defaultRowHeight="15" x14ac:dyDescent="0.25"/>
  <cols>
    <col min="1" max="1" width="23.140625" customWidth="1"/>
    <col min="2" max="3" width="7.7109375" customWidth="1"/>
    <col min="4" max="4" width="8.5703125" customWidth="1"/>
    <col min="5" max="5" width="7.7109375" customWidth="1"/>
    <col min="6" max="6" width="10.28515625" customWidth="1"/>
    <col min="7" max="7" width="7.710937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93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18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19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24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94</v>
      </c>
      <c r="B9" s="26"/>
      <c r="C9" s="26"/>
      <c r="D9" s="27">
        <f>224</f>
        <v>224</v>
      </c>
      <c r="E9" s="26"/>
      <c r="F9" s="26"/>
      <c r="G9" s="26"/>
      <c r="H9" s="27">
        <f t="shared" si="0"/>
        <v>224</v>
      </c>
    </row>
    <row r="10" spans="1:8" x14ac:dyDescent="0.25">
      <c r="A10" s="25" t="s">
        <v>26</v>
      </c>
      <c r="B10" s="28">
        <f t="shared" ref="B10:G10" si="1">(B8)+(B9)</f>
        <v>0</v>
      </c>
      <c r="C10" s="28">
        <f t="shared" si="1"/>
        <v>0</v>
      </c>
      <c r="D10" s="28">
        <f t="shared" si="1"/>
        <v>224</v>
      </c>
      <c r="E10" s="28">
        <f t="shared" si="1"/>
        <v>0</v>
      </c>
      <c r="F10" s="28">
        <f t="shared" si="1"/>
        <v>0</v>
      </c>
      <c r="G10" s="28">
        <f t="shared" si="1"/>
        <v>0</v>
      </c>
      <c r="H10" s="28">
        <f t="shared" si="0"/>
        <v>224</v>
      </c>
    </row>
    <row r="11" spans="1:8" x14ac:dyDescent="0.25">
      <c r="A11" s="25" t="s">
        <v>27</v>
      </c>
      <c r="B11" s="26"/>
      <c r="C11" s="26"/>
      <c r="D11" s="27">
        <f>57.3</f>
        <v>57.3</v>
      </c>
      <c r="E11" s="26"/>
      <c r="F11" s="27">
        <f>138.48</f>
        <v>138.47999999999999</v>
      </c>
      <c r="G11" s="26"/>
      <c r="H11" s="27">
        <f t="shared" si="0"/>
        <v>195.77999999999997</v>
      </c>
    </row>
    <row r="12" spans="1:8" x14ac:dyDescent="0.25">
      <c r="A12" s="25" t="s">
        <v>29</v>
      </c>
      <c r="B12" s="26"/>
      <c r="C12" s="26"/>
      <c r="D12" s="26"/>
      <c r="E12" s="26"/>
      <c r="F12" s="27">
        <f>2090</f>
        <v>2090</v>
      </c>
      <c r="G12" s="26"/>
      <c r="H12" s="27">
        <f t="shared" si="0"/>
        <v>2090</v>
      </c>
    </row>
    <row r="13" spans="1:8" x14ac:dyDescent="0.25">
      <c r="A13" s="25" t="s">
        <v>89</v>
      </c>
      <c r="B13" s="26"/>
      <c r="C13" s="26"/>
      <c r="D13" s="26"/>
      <c r="E13" s="26"/>
      <c r="F13" s="27">
        <f>450</f>
        <v>450</v>
      </c>
      <c r="G13" s="26"/>
      <c r="H13" s="27">
        <f t="shared" si="0"/>
        <v>450</v>
      </c>
    </row>
    <row r="14" spans="1:8" x14ac:dyDescent="0.25">
      <c r="A14" s="25" t="s">
        <v>34</v>
      </c>
      <c r="B14" s="28">
        <f t="shared" ref="B14:G14" si="2">((((B7)+(B10))+(B11))+(B12))+(B13)</f>
        <v>0</v>
      </c>
      <c r="C14" s="28">
        <f t="shared" si="2"/>
        <v>0</v>
      </c>
      <c r="D14" s="28">
        <f t="shared" si="2"/>
        <v>281.3</v>
      </c>
      <c r="E14" s="28">
        <f t="shared" si="2"/>
        <v>0</v>
      </c>
      <c r="F14" s="28">
        <f t="shared" si="2"/>
        <v>2678.48</v>
      </c>
      <c r="G14" s="28">
        <f t="shared" si="2"/>
        <v>0</v>
      </c>
      <c r="H14" s="28">
        <f t="shared" si="0"/>
        <v>2959.78</v>
      </c>
    </row>
    <row r="15" spans="1:8" x14ac:dyDescent="0.25">
      <c r="A15" s="25" t="s">
        <v>35</v>
      </c>
      <c r="B15" s="28">
        <f t="shared" ref="B15:G15" si="3">B14</f>
        <v>0</v>
      </c>
      <c r="C15" s="28">
        <f t="shared" si="3"/>
        <v>0</v>
      </c>
      <c r="D15" s="28">
        <f t="shared" si="3"/>
        <v>281.3</v>
      </c>
      <c r="E15" s="28">
        <f t="shared" si="3"/>
        <v>0</v>
      </c>
      <c r="F15" s="28">
        <f t="shared" si="3"/>
        <v>2678.48</v>
      </c>
      <c r="G15" s="28">
        <f t="shared" si="3"/>
        <v>0</v>
      </c>
      <c r="H15" s="28">
        <f t="shared" si="0"/>
        <v>2959.78</v>
      </c>
    </row>
    <row r="16" spans="1:8" x14ac:dyDescent="0.25">
      <c r="A16" s="25" t="s">
        <v>36</v>
      </c>
      <c r="B16" s="28">
        <f t="shared" ref="B16:G16" si="4">(((0)-(B15))+(0))-(0)</f>
        <v>0</v>
      </c>
      <c r="C16" s="28">
        <f t="shared" si="4"/>
        <v>0</v>
      </c>
      <c r="D16" s="28">
        <f t="shared" si="4"/>
        <v>-281.3</v>
      </c>
      <c r="E16" s="28">
        <f t="shared" si="4"/>
        <v>0</v>
      </c>
      <c r="F16" s="28">
        <f t="shared" si="4"/>
        <v>-2678.48</v>
      </c>
      <c r="G16" s="28">
        <f t="shared" si="4"/>
        <v>0</v>
      </c>
      <c r="H16" s="28">
        <f t="shared" si="0"/>
        <v>-2959.78</v>
      </c>
    </row>
    <row r="17" spans="1:8" x14ac:dyDescent="0.25">
      <c r="A17" s="25"/>
      <c r="B17" s="26"/>
      <c r="C17" s="26"/>
      <c r="D17" s="26"/>
      <c r="E17" s="26"/>
      <c r="F17" s="26"/>
      <c r="G17" s="26"/>
      <c r="H17" s="26"/>
    </row>
    <row r="20" spans="1:8" x14ac:dyDescent="0.25">
      <c r="A20" s="29" t="s">
        <v>95</v>
      </c>
      <c r="B20" s="2"/>
      <c r="C20" s="2"/>
      <c r="D20" s="2"/>
      <c r="E20" s="2"/>
      <c r="F20" s="2"/>
      <c r="G20" s="2"/>
      <c r="H20" s="2"/>
    </row>
  </sheetData>
  <mergeCells count="4">
    <mergeCell ref="A1:H1"/>
    <mergeCell ref="A2:H2"/>
    <mergeCell ref="A3:H3"/>
    <mergeCell ref="A20:H2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F1259-0B33-4D03-BA74-07D3D77B99BF}">
  <dimension ref="A1:P60"/>
  <sheetViews>
    <sheetView workbookViewId="0">
      <selection activeCell="K22" sqref="K22"/>
    </sheetView>
  </sheetViews>
  <sheetFormatPr defaultRowHeight="15" x14ac:dyDescent="0.25"/>
  <cols>
    <col min="1" max="1" width="30.140625" customWidth="1"/>
    <col min="2" max="2" width="7.5703125" customWidth="1"/>
    <col min="3" max="3" width="9.28515625" bestFit="1" customWidth="1"/>
    <col min="4" max="4" width="9.5703125" bestFit="1" customWidth="1"/>
    <col min="5" max="5" width="10.140625" bestFit="1" customWidth="1"/>
    <col min="6" max="14" width="9.42578125" customWidth="1"/>
    <col min="15" max="15" width="13.140625" bestFit="1" customWidth="1"/>
    <col min="16" max="16" width="9.5703125" bestFit="1" customWidth="1"/>
  </cols>
  <sheetData>
    <row r="1" spans="1:16" ht="18" x14ac:dyDescent="0.2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ht="18" x14ac:dyDescent="0.25">
      <c r="A2" s="1" t="s">
        <v>96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x14ac:dyDescent="0.25">
      <c r="A3" s="3" t="s">
        <v>97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5" spans="1:16" ht="12" customHeight="1" x14ac:dyDescent="0.25">
      <c r="A5" s="4"/>
      <c r="B5" s="4"/>
      <c r="C5" s="15">
        <v>43466</v>
      </c>
      <c r="D5" s="15">
        <v>43514</v>
      </c>
      <c r="E5" s="15">
        <v>43542</v>
      </c>
      <c r="F5" s="15">
        <v>43573</v>
      </c>
      <c r="G5" s="15">
        <v>43603</v>
      </c>
      <c r="H5" s="15">
        <v>43634</v>
      </c>
      <c r="I5" s="15">
        <v>43664</v>
      </c>
      <c r="J5" s="15">
        <v>43695</v>
      </c>
      <c r="K5" s="15">
        <v>43726</v>
      </c>
      <c r="L5" s="15">
        <v>43756</v>
      </c>
      <c r="M5" s="15">
        <v>43787</v>
      </c>
      <c r="N5" s="15">
        <v>43817</v>
      </c>
      <c r="O5" s="5" t="s">
        <v>9</v>
      </c>
    </row>
    <row r="6" spans="1:16" ht="12" customHeight="1" x14ac:dyDescent="0.25">
      <c r="A6" s="6" t="s">
        <v>53</v>
      </c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O6" s="7"/>
    </row>
    <row r="7" spans="1:16" ht="12" customHeight="1" x14ac:dyDescent="0.25">
      <c r="A7" s="6" t="s">
        <v>54</v>
      </c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O7" s="8"/>
    </row>
    <row r="8" spans="1:16" ht="12" customHeight="1" x14ac:dyDescent="0.25">
      <c r="A8" s="6" t="s">
        <v>98</v>
      </c>
      <c r="B8" s="6"/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/>
      <c r="J8" s="7"/>
      <c r="K8" s="7"/>
      <c r="L8" s="7"/>
      <c r="M8" s="7"/>
      <c r="N8" s="7"/>
      <c r="O8" s="8">
        <f>SUM(C8:N8)</f>
        <v>0</v>
      </c>
    </row>
    <row r="9" spans="1:16" ht="12" customHeight="1" x14ac:dyDescent="0.25">
      <c r="A9" s="6" t="s">
        <v>99</v>
      </c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O9" s="8"/>
    </row>
    <row r="10" spans="1:16" ht="12" customHeight="1" x14ac:dyDescent="0.25">
      <c r="A10" s="6" t="s">
        <v>100</v>
      </c>
      <c r="B10" s="6"/>
      <c r="C10" s="8">
        <f>+'[2]15% 10-7'!C10/0.15</f>
        <v>50594.866666666669</v>
      </c>
      <c r="D10" s="8">
        <f>+'[2]15% 10-7'!D10/0.15</f>
        <v>50003.533333333333</v>
      </c>
      <c r="E10" s="8">
        <f>+'[2]15% 10-7'!E10/0.15</f>
        <v>50214.066666666666</v>
      </c>
      <c r="F10" s="8">
        <f>+'[2]15% 10-7'!F10/0.15</f>
        <v>49401.266666666663</v>
      </c>
      <c r="G10" s="8">
        <f>+'[2]15% 10-7'!G10/0.15</f>
        <v>53788.800000000003</v>
      </c>
      <c r="H10" s="8">
        <f>+'[2]15% 10-7'!H10/0.15</f>
        <v>0</v>
      </c>
      <c r="I10" s="8"/>
      <c r="J10" s="8"/>
      <c r="K10" s="8"/>
      <c r="L10" s="8"/>
      <c r="M10" s="8"/>
      <c r="O10" s="8">
        <f t="shared" ref="O10:O12" si="0">SUM(C10:N10)</f>
        <v>254002.53333333333</v>
      </c>
    </row>
    <row r="11" spans="1:16" ht="12" customHeight="1" x14ac:dyDescent="0.25">
      <c r="A11" s="6" t="s">
        <v>57</v>
      </c>
      <c r="B11" s="6"/>
      <c r="C11" s="9">
        <f t="shared" ref="C11:N11" si="1">(C9)+(C10)</f>
        <v>50594.866666666669</v>
      </c>
      <c r="D11" s="9">
        <f t="shared" si="1"/>
        <v>50003.533333333333</v>
      </c>
      <c r="E11" s="9">
        <f t="shared" si="1"/>
        <v>50214.066666666666</v>
      </c>
      <c r="F11" s="9">
        <f t="shared" si="1"/>
        <v>49401.266666666663</v>
      </c>
      <c r="G11" s="9">
        <f t="shared" si="1"/>
        <v>53788.800000000003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9">
        <f t="shared" si="1"/>
        <v>0</v>
      </c>
      <c r="M11" s="9">
        <f t="shared" si="1"/>
        <v>0</v>
      </c>
      <c r="N11" s="9">
        <f t="shared" si="1"/>
        <v>0</v>
      </c>
      <c r="O11" s="18">
        <f t="shared" si="0"/>
        <v>254002.53333333333</v>
      </c>
    </row>
    <row r="12" spans="1:16" ht="12" customHeight="1" x14ac:dyDescent="0.25">
      <c r="A12" s="6" t="s">
        <v>58</v>
      </c>
      <c r="B12" s="6"/>
      <c r="C12" s="9">
        <f t="shared" ref="C12:N12" si="2">+C8+C10</f>
        <v>50594.866666666669</v>
      </c>
      <c r="D12" s="9">
        <f t="shared" si="2"/>
        <v>50003.533333333333</v>
      </c>
      <c r="E12" s="9">
        <f t="shared" si="2"/>
        <v>50214.066666666666</v>
      </c>
      <c r="F12" s="9">
        <f t="shared" si="2"/>
        <v>49401.266666666663</v>
      </c>
      <c r="G12" s="9">
        <f t="shared" si="2"/>
        <v>53788.800000000003</v>
      </c>
      <c r="H12" s="9">
        <f t="shared" si="2"/>
        <v>0</v>
      </c>
      <c r="I12" s="9">
        <f t="shared" si="2"/>
        <v>0</v>
      </c>
      <c r="J12" s="9">
        <f>+J8+J10</f>
        <v>0</v>
      </c>
      <c r="K12" s="9">
        <f>+K8+K10</f>
        <v>0</v>
      </c>
      <c r="L12" s="9">
        <f t="shared" si="2"/>
        <v>0</v>
      </c>
      <c r="M12" s="9">
        <f t="shared" si="2"/>
        <v>0</v>
      </c>
      <c r="N12" s="9">
        <f t="shared" si="2"/>
        <v>0</v>
      </c>
      <c r="O12" s="17">
        <f t="shared" si="0"/>
        <v>254002.53333333333</v>
      </c>
    </row>
    <row r="13" spans="1:16" ht="12" customHeight="1" x14ac:dyDescent="0.25">
      <c r="A13" s="6" t="s">
        <v>101</v>
      </c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O13" s="8"/>
    </row>
    <row r="14" spans="1:16" ht="12" customHeight="1" x14ac:dyDescent="0.25">
      <c r="A14" s="6" t="s">
        <v>102</v>
      </c>
      <c r="B14" s="6"/>
      <c r="C14" s="8">
        <f>+'[2]15% 10-7'!C14/0.15</f>
        <v>-398.6</v>
      </c>
      <c r="D14" s="8">
        <f>+'[2]15% 10-7'!D14/0.15</f>
        <v>-5147.8</v>
      </c>
      <c r="E14" s="8">
        <f>+'[2]15% 10-7'!E14/0.15</f>
        <v>-10179.733333333334</v>
      </c>
      <c r="F14" s="8">
        <f>+'[2]15% 10-7'!F14/0.15</f>
        <v>-5364.8666666666668</v>
      </c>
      <c r="G14" s="8">
        <f>+'[2]15% 10-7'!G14/0.15</f>
        <v>-9374</v>
      </c>
      <c r="H14" s="8">
        <f>+'[2]15% 10-7'!H14/0.15</f>
        <v>-3117.2666666666664</v>
      </c>
      <c r="I14" s="8"/>
      <c r="J14" s="8"/>
      <c r="K14" s="8"/>
      <c r="L14" s="8"/>
      <c r="M14" s="8"/>
      <c r="N14" s="8"/>
      <c r="O14" s="8">
        <f t="shared" ref="O14:O17" si="3">SUM(C14:N14)</f>
        <v>-33582.266666666663</v>
      </c>
    </row>
    <row r="15" spans="1:16" ht="12" customHeight="1" x14ac:dyDescent="0.25">
      <c r="A15" s="6" t="s">
        <v>103</v>
      </c>
      <c r="B15" s="6"/>
      <c r="C15" s="9">
        <f t="shared" ref="C15:N15" si="4">((C13)+(C14))</f>
        <v>-398.6</v>
      </c>
      <c r="D15" s="9">
        <f t="shared" si="4"/>
        <v>-5147.8</v>
      </c>
      <c r="E15" s="9">
        <f t="shared" si="4"/>
        <v>-10179.733333333334</v>
      </c>
      <c r="F15" s="9">
        <f t="shared" si="4"/>
        <v>-5364.8666666666668</v>
      </c>
      <c r="G15" s="9">
        <f t="shared" si="4"/>
        <v>-9374</v>
      </c>
      <c r="H15" s="9">
        <f t="shared" si="4"/>
        <v>-3117.2666666666664</v>
      </c>
      <c r="I15" s="9">
        <f t="shared" si="4"/>
        <v>0</v>
      </c>
      <c r="J15" s="9">
        <f t="shared" si="4"/>
        <v>0</v>
      </c>
      <c r="K15" s="9">
        <f t="shared" si="4"/>
        <v>0</v>
      </c>
      <c r="L15" s="9">
        <f t="shared" si="4"/>
        <v>0</v>
      </c>
      <c r="M15" s="9">
        <f t="shared" si="4"/>
        <v>0</v>
      </c>
      <c r="N15" s="9">
        <f t="shared" si="4"/>
        <v>0</v>
      </c>
      <c r="O15" s="18">
        <f t="shared" si="3"/>
        <v>-33582.266666666663</v>
      </c>
      <c r="P15" s="19"/>
    </row>
    <row r="16" spans="1:16" ht="12" customHeight="1" x14ac:dyDescent="0.25">
      <c r="A16" s="6" t="s">
        <v>59</v>
      </c>
      <c r="B16" s="6"/>
      <c r="C16" s="9">
        <f t="shared" ref="C16:N16" si="5">(C12)+(C15)</f>
        <v>50196.26666666667</v>
      </c>
      <c r="D16" s="9">
        <f t="shared" si="5"/>
        <v>44855.73333333333</v>
      </c>
      <c r="E16" s="9">
        <f t="shared" si="5"/>
        <v>40034.333333333328</v>
      </c>
      <c r="F16" s="9">
        <f t="shared" si="5"/>
        <v>44036.399999999994</v>
      </c>
      <c r="G16" s="9">
        <f t="shared" si="5"/>
        <v>44414.8</v>
      </c>
      <c r="H16" s="9">
        <f t="shared" si="5"/>
        <v>-3117.2666666666664</v>
      </c>
      <c r="I16" s="9">
        <f t="shared" si="5"/>
        <v>0</v>
      </c>
      <c r="J16" s="9">
        <f t="shared" si="5"/>
        <v>0</v>
      </c>
      <c r="K16" s="9">
        <f t="shared" si="5"/>
        <v>0</v>
      </c>
      <c r="L16" s="9">
        <f t="shared" si="5"/>
        <v>0</v>
      </c>
      <c r="M16" s="9">
        <f t="shared" si="5"/>
        <v>0</v>
      </c>
      <c r="N16" s="9">
        <f t="shared" si="5"/>
        <v>0</v>
      </c>
      <c r="O16" s="18">
        <f t="shared" si="3"/>
        <v>220420.26666666666</v>
      </c>
      <c r="P16" s="19"/>
    </row>
    <row r="17" spans="1:15" ht="12" customHeight="1" x14ac:dyDescent="0.25">
      <c r="A17" s="6" t="s">
        <v>60</v>
      </c>
      <c r="B17" s="6"/>
      <c r="C17" s="9">
        <f t="shared" ref="C17:N17" si="6">(C16)-(0)</f>
        <v>50196.26666666667</v>
      </c>
      <c r="D17" s="9">
        <f t="shared" si="6"/>
        <v>44855.73333333333</v>
      </c>
      <c r="E17" s="9">
        <f t="shared" si="6"/>
        <v>40034.333333333328</v>
      </c>
      <c r="F17" s="9">
        <f t="shared" si="6"/>
        <v>44036.399999999994</v>
      </c>
      <c r="G17" s="9">
        <f t="shared" si="6"/>
        <v>44414.8</v>
      </c>
      <c r="H17" s="9">
        <f t="shared" si="6"/>
        <v>-3117.2666666666664</v>
      </c>
      <c r="I17" s="9">
        <f t="shared" si="6"/>
        <v>0</v>
      </c>
      <c r="J17" s="9">
        <f t="shared" si="6"/>
        <v>0</v>
      </c>
      <c r="K17" s="9">
        <f t="shared" si="6"/>
        <v>0</v>
      </c>
      <c r="L17" s="9">
        <f t="shared" si="6"/>
        <v>0</v>
      </c>
      <c r="M17" s="9">
        <f t="shared" si="6"/>
        <v>0</v>
      </c>
      <c r="N17" s="9">
        <f t="shared" si="6"/>
        <v>0</v>
      </c>
      <c r="O17" s="17">
        <f t="shared" si="3"/>
        <v>220420.26666666666</v>
      </c>
    </row>
    <row r="18" spans="1:15" ht="12" customHeight="1" x14ac:dyDescent="0.25">
      <c r="A18" s="6" t="s">
        <v>85</v>
      </c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O18" s="7"/>
    </row>
    <row r="19" spans="1:15" ht="12" customHeight="1" x14ac:dyDescent="0.25">
      <c r="A19" s="6" t="s">
        <v>19</v>
      </c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O19" s="8"/>
    </row>
    <row r="20" spans="1:15" ht="12" customHeight="1" x14ac:dyDescent="0.25">
      <c r="A20" s="6" t="s">
        <v>104</v>
      </c>
      <c r="B20" s="6"/>
      <c r="C20" s="7">
        <f>+'[2]15% 10-7'!C20/0.15</f>
        <v>0</v>
      </c>
      <c r="D20" s="7">
        <f>+'[2]15% 10-7'!D20/0.15</f>
        <v>0</v>
      </c>
      <c r="E20" s="7">
        <f>+'[2]15% 10-7'!E20/0.15</f>
        <v>0</v>
      </c>
      <c r="F20" s="7">
        <f>+'[2]15% 10-7'!F20/0.15</f>
        <v>0</v>
      </c>
      <c r="G20" s="7">
        <f>+'[2]15% 10-7'!G20/0.15</f>
        <v>0</v>
      </c>
      <c r="H20" s="7">
        <f>+'[2]15% 10-7'!H20/0.15</f>
        <v>0</v>
      </c>
      <c r="I20" s="7"/>
      <c r="J20" s="7"/>
      <c r="K20" s="7"/>
      <c r="L20" s="7"/>
      <c r="M20" s="7"/>
      <c r="O20" s="8">
        <f t="shared" ref="O20:O24" si="7">SUM(C20:N20)</f>
        <v>0</v>
      </c>
    </row>
    <row r="21" spans="1:15" ht="12" customHeight="1" x14ac:dyDescent="0.25">
      <c r="A21" s="6" t="s">
        <v>20</v>
      </c>
      <c r="B21" s="6"/>
      <c r="C21" s="7">
        <f>+'[2]15% 10-7'!C21/0.15</f>
        <v>604.6</v>
      </c>
      <c r="D21" s="7">
        <f>+'[2]15% 10-7'!D21/0.15</f>
        <v>0</v>
      </c>
      <c r="E21" s="7">
        <f>+'[2]15% 10-7'!E21/0.15</f>
        <v>78.2</v>
      </c>
      <c r="F21" s="7">
        <f>+'[2]15% 10-7'!F21/0.15</f>
        <v>0</v>
      </c>
      <c r="G21" s="7">
        <f>+'[2]15% 10-7'!G21/0.15</f>
        <v>224.8</v>
      </c>
      <c r="H21" s="7">
        <f>+'[2]15% 10-7'!H21/0.15</f>
        <v>480.40000000000003</v>
      </c>
      <c r="I21" s="8"/>
      <c r="J21" s="7"/>
      <c r="K21" s="7"/>
      <c r="L21" s="7"/>
      <c r="M21" s="7"/>
      <c r="N21" s="7"/>
      <c r="O21" s="8">
        <f t="shared" si="7"/>
        <v>1388.0000000000002</v>
      </c>
    </row>
    <row r="22" spans="1:15" ht="12" customHeight="1" x14ac:dyDescent="0.25">
      <c r="A22" s="6" t="s">
        <v>21</v>
      </c>
      <c r="B22" s="6"/>
      <c r="C22" s="7">
        <f>+'[2]15% 10-7'!C22/0.15</f>
        <v>750</v>
      </c>
      <c r="D22" s="7">
        <f>+'[2]15% 10-7'!D22/0.15</f>
        <v>750</v>
      </c>
      <c r="E22" s="7">
        <f>+'[2]15% 10-7'!E22/0.15</f>
        <v>750</v>
      </c>
      <c r="F22" s="7">
        <f>+'[2]15% 10-7'!F22/0.15</f>
        <v>750</v>
      </c>
      <c r="G22" s="7">
        <f>+'[2]15% 10-7'!G22/0.15</f>
        <v>800</v>
      </c>
      <c r="H22" s="7">
        <f>+'[2]15% 10-7'!H22/0.15</f>
        <v>810</v>
      </c>
      <c r="I22" s="8"/>
      <c r="J22" s="8"/>
      <c r="K22" s="8"/>
      <c r="L22" s="8"/>
      <c r="M22" s="8"/>
      <c r="N22" s="8"/>
      <c r="O22" s="8">
        <f t="shared" si="7"/>
        <v>4610</v>
      </c>
    </row>
    <row r="23" spans="1:15" ht="12" customHeight="1" x14ac:dyDescent="0.25">
      <c r="A23" s="6" t="s">
        <v>105</v>
      </c>
      <c r="B23" s="6"/>
      <c r="C23" s="7">
        <f>+'[2]15% 10-7'!C23/0.15</f>
        <v>0</v>
      </c>
      <c r="D23" s="7">
        <f>+'[2]15% 10-7'!D23/0.15</f>
        <v>0</v>
      </c>
      <c r="E23" s="7">
        <f>+'[2]15% 10-7'!E23/0.15</f>
        <v>0</v>
      </c>
      <c r="F23" s="7">
        <f>+'[2]15% 10-7'!F23/0.15</f>
        <v>0</v>
      </c>
      <c r="G23" s="7">
        <f>+'[2]15% 10-7'!G23/0.15</f>
        <v>0</v>
      </c>
      <c r="H23" s="7">
        <f>+'[2]15% 10-7'!H23/0.15</f>
        <v>0</v>
      </c>
      <c r="I23" s="8"/>
      <c r="J23" s="8"/>
      <c r="K23" s="8"/>
      <c r="L23" s="8"/>
      <c r="M23" s="8"/>
      <c r="O23" s="8">
        <f t="shared" si="7"/>
        <v>0</v>
      </c>
    </row>
    <row r="24" spans="1:15" ht="12" customHeight="1" x14ac:dyDescent="0.25">
      <c r="A24" s="6" t="s">
        <v>22</v>
      </c>
      <c r="B24" s="6"/>
      <c r="C24" s="7">
        <f>+'[2]15% 10-7'!C24/0.15</f>
        <v>0</v>
      </c>
      <c r="D24" s="7">
        <f>+'[2]15% 10-7'!D24/0.15</f>
        <v>0</v>
      </c>
      <c r="E24" s="7">
        <f>+'[2]15% 10-7'!E24/0.15</f>
        <v>0</v>
      </c>
      <c r="F24" s="7">
        <f>+'[2]15% 10-7'!F24/0.15</f>
        <v>0</v>
      </c>
      <c r="G24" s="7">
        <f>+'[2]15% 10-7'!G24/0.15</f>
        <v>0</v>
      </c>
      <c r="H24" s="7">
        <f>+'[2]15% 10-7'!H24/0.15</f>
        <v>0</v>
      </c>
      <c r="I24" s="8"/>
      <c r="J24" s="8"/>
      <c r="K24" s="8"/>
      <c r="L24" s="8"/>
      <c r="M24" s="8"/>
      <c r="O24" s="8">
        <f t="shared" si="7"/>
        <v>0</v>
      </c>
    </row>
    <row r="25" spans="1:15" ht="12" customHeight="1" x14ac:dyDescent="0.25">
      <c r="A25" s="6" t="s">
        <v>24</v>
      </c>
      <c r="B25" s="6"/>
      <c r="C25" s="7">
        <f>+'[2]15% 10-7'!C25/0.15</f>
        <v>0</v>
      </c>
      <c r="D25" s="7">
        <f>+'[2]15% 10-7'!D25/0.15</f>
        <v>0</v>
      </c>
      <c r="E25" s="7">
        <f>+'[2]15% 10-7'!E25/0.15</f>
        <v>0</v>
      </c>
      <c r="F25" s="7">
        <f>+'[2]15% 10-7'!F25/0.15</f>
        <v>0</v>
      </c>
      <c r="G25" s="7">
        <f>+'[2]15% 10-7'!G25/0.15</f>
        <v>0</v>
      </c>
      <c r="H25" s="7">
        <f>+'[2]15% 10-7'!H25/0.15</f>
        <v>0</v>
      </c>
      <c r="I25" s="7"/>
      <c r="J25" s="7"/>
      <c r="K25" s="7"/>
      <c r="L25" s="7"/>
      <c r="M25" s="7"/>
      <c r="O25" s="8"/>
    </row>
    <row r="26" spans="1:15" ht="12" customHeight="1" x14ac:dyDescent="0.25">
      <c r="A26" s="6" t="s">
        <v>25</v>
      </c>
      <c r="B26" s="6"/>
      <c r="C26" s="7">
        <f>+'[2]15% 10-7'!C26/0.15</f>
        <v>0</v>
      </c>
      <c r="D26" s="7">
        <f>+'[2]15% 10-7'!D26/0.15</f>
        <v>0</v>
      </c>
      <c r="E26" s="7">
        <f>+'[2]15% 10-7'!E26/0.15</f>
        <v>0</v>
      </c>
      <c r="F26" s="7">
        <f>+'[2]15% 10-7'!F26/0.15</f>
        <v>0</v>
      </c>
      <c r="G26" s="7">
        <f>+'[2]15% 10-7'!G26/0.15</f>
        <v>0</v>
      </c>
      <c r="H26" s="7">
        <f>+'[2]15% 10-7'!H26/0.15</f>
        <v>0</v>
      </c>
      <c r="I26" s="8"/>
      <c r="J26" s="8"/>
      <c r="K26" s="8"/>
      <c r="L26" s="8"/>
      <c r="M26" s="8"/>
      <c r="O26" s="8">
        <f>SUM(C26:N26)</f>
        <v>0</v>
      </c>
    </row>
    <row r="27" spans="1:15" ht="12" customHeight="1" x14ac:dyDescent="0.25">
      <c r="A27" s="6" t="s">
        <v>106</v>
      </c>
      <c r="B27" s="6"/>
      <c r="C27" s="7">
        <f>+'[2]15% 10-7'!C27/0.15</f>
        <v>0</v>
      </c>
      <c r="D27" s="7">
        <f>+'[2]15% 10-7'!D27/0.15</f>
        <v>0</v>
      </c>
      <c r="E27" s="7">
        <f>+'[2]15% 10-7'!E27/0.15</f>
        <v>448.00000000000006</v>
      </c>
      <c r="F27" s="7">
        <f>+'[2]15% 10-7'!F27/0.15</f>
        <v>0</v>
      </c>
      <c r="G27" s="7">
        <f>+'[2]15% 10-7'!G27/0.15</f>
        <v>0</v>
      </c>
      <c r="H27" s="7">
        <f>+'[2]15% 10-7'!H27/0.15</f>
        <v>448.00000000000006</v>
      </c>
      <c r="I27" s="8"/>
      <c r="J27" s="8"/>
      <c r="K27" s="8"/>
      <c r="L27" s="8"/>
      <c r="M27" s="8"/>
      <c r="O27" s="8">
        <f>SUM(C27:N27)</f>
        <v>896.00000000000011</v>
      </c>
    </row>
    <row r="28" spans="1:15" ht="12" customHeight="1" x14ac:dyDescent="0.25">
      <c r="A28" s="6" t="s">
        <v>26</v>
      </c>
      <c r="B28" s="6"/>
      <c r="C28" s="9">
        <f t="shared" ref="C28:M28" si="8">+C26+C27</f>
        <v>0</v>
      </c>
      <c r="D28" s="9">
        <f t="shared" si="8"/>
        <v>0</v>
      </c>
      <c r="E28" s="9">
        <f t="shared" si="8"/>
        <v>448.00000000000006</v>
      </c>
      <c r="F28" s="9">
        <f t="shared" si="8"/>
        <v>0</v>
      </c>
      <c r="G28" s="9">
        <f t="shared" si="8"/>
        <v>0</v>
      </c>
      <c r="H28" s="9">
        <f t="shared" si="8"/>
        <v>448.00000000000006</v>
      </c>
      <c r="I28" s="9">
        <f t="shared" si="8"/>
        <v>0</v>
      </c>
      <c r="J28" s="9">
        <f t="shared" si="8"/>
        <v>0</v>
      </c>
      <c r="K28" s="9">
        <f t="shared" si="8"/>
        <v>0</v>
      </c>
      <c r="L28" s="9">
        <f t="shared" si="8"/>
        <v>0</v>
      </c>
      <c r="M28" s="9">
        <f t="shared" si="8"/>
        <v>0</v>
      </c>
      <c r="N28" s="31"/>
      <c r="O28" s="20">
        <f>SUM(C28:N28)</f>
        <v>896.00000000000011</v>
      </c>
    </row>
    <row r="29" spans="1:15" ht="12" customHeight="1" x14ac:dyDescent="0.25">
      <c r="A29" s="6" t="s">
        <v>48</v>
      </c>
      <c r="B29" s="6"/>
      <c r="C29" s="7">
        <f>+'[2]15% 10-7'!C29/0.15</f>
        <v>0</v>
      </c>
      <c r="D29" s="7">
        <f>+'[2]15% 10-7'!D29/0.15</f>
        <v>0</v>
      </c>
      <c r="E29" s="7">
        <f>+'[2]15% 10-7'!E29/0.15</f>
        <v>0</v>
      </c>
      <c r="F29" s="7">
        <f>+'[2]15% 10-7'!F29/0.15</f>
        <v>0</v>
      </c>
      <c r="G29" s="7">
        <f>+'[2]15% 10-7'!G29/0.15</f>
        <v>953.93333333333339</v>
      </c>
      <c r="H29" s="7">
        <f>+'[2]15% 10-7'!H29/0.15</f>
        <v>0</v>
      </c>
      <c r="I29" s="19"/>
      <c r="J29" s="19"/>
      <c r="K29" s="19"/>
      <c r="L29" s="19"/>
      <c r="M29" s="19"/>
      <c r="O29" s="8">
        <f t="shared" ref="O29:O40" si="9">SUM(C29:N29)</f>
        <v>953.93333333333339</v>
      </c>
    </row>
    <row r="30" spans="1:15" ht="12" customHeight="1" x14ac:dyDescent="0.25">
      <c r="A30" s="6" t="s">
        <v>27</v>
      </c>
      <c r="B30" s="6"/>
      <c r="C30" s="7">
        <f>+'[2]15% 10-7'!C30/0.15</f>
        <v>0</v>
      </c>
      <c r="D30" s="7">
        <f>+'[2]15% 10-7'!D30/0.15</f>
        <v>0</v>
      </c>
      <c r="E30" s="7">
        <f>+'[2]15% 10-7'!E30/0.15</f>
        <v>57.266666666666666</v>
      </c>
      <c r="F30" s="7">
        <f>+'[2]15% 10-7'!F30/0.15</f>
        <v>0</v>
      </c>
      <c r="G30" s="7">
        <f>+'[2]15% 10-7'!G30/0.15</f>
        <v>72.000000000000014</v>
      </c>
      <c r="H30" s="7">
        <f>+'[2]15% 10-7'!H30/0.15</f>
        <v>0</v>
      </c>
      <c r="I30" s="7"/>
      <c r="J30" s="7"/>
      <c r="K30" s="7"/>
      <c r="L30" s="7"/>
      <c r="M30" s="7"/>
      <c r="O30" s="8">
        <f t="shared" si="9"/>
        <v>129.26666666666668</v>
      </c>
    </row>
    <row r="31" spans="1:15" ht="12" customHeight="1" x14ac:dyDescent="0.25">
      <c r="A31" s="6" t="s">
        <v>62</v>
      </c>
      <c r="B31" s="6"/>
      <c r="C31" s="7">
        <f>+'[2]15% 10-7'!C31/0.15</f>
        <v>0</v>
      </c>
      <c r="D31" s="7">
        <f>+'[2]15% 10-7'!D31/0.15</f>
        <v>0</v>
      </c>
      <c r="E31" s="7">
        <f>+'[2]15% 10-7'!E31/0.15</f>
        <v>0</v>
      </c>
      <c r="F31" s="7">
        <f>+'[2]15% 10-7'!F31/0.15</f>
        <v>0</v>
      </c>
      <c r="G31" s="7">
        <f>+'[2]15% 10-7'!G31/0.15</f>
        <v>0</v>
      </c>
      <c r="H31" s="7">
        <f>+'[2]15% 10-7'!H31/0.15</f>
        <v>0</v>
      </c>
      <c r="I31" s="7"/>
      <c r="J31" s="7"/>
      <c r="K31" s="7"/>
      <c r="L31" s="7"/>
      <c r="M31" s="7"/>
      <c r="O31" s="8">
        <f t="shared" si="9"/>
        <v>0</v>
      </c>
    </row>
    <row r="32" spans="1:15" ht="12" customHeight="1" x14ac:dyDescent="0.25">
      <c r="A32" s="6" t="s">
        <v>29</v>
      </c>
      <c r="B32" s="6"/>
      <c r="C32" s="7">
        <f>+'[2]15% 10-7'!C32/0.15</f>
        <v>0</v>
      </c>
      <c r="D32" s="7">
        <f>+'[2]15% 10-7'!D32/0.15</f>
        <v>0</v>
      </c>
      <c r="E32" s="7">
        <f>+'[2]15% 10-7'!E32/0.15</f>
        <v>1330</v>
      </c>
      <c r="F32" s="7">
        <f>+'[2]15% 10-7'!F32/0.15</f>
        <v>380</v>
      </c>
      <c r="G32" s="7">
        <f>+'[2]15% 10-7'!G32/0.15</f>
        <v>2940</v>
      </c>
      <c r="H32" s="7">
        <f>+'[2]15% 10-7'!H32/0.15</f>
        <v>0</v>
      </c>
      <c r="I32" s="7"/>
      <c r="J32" s="7"/>
      <c r="K32" s="7"/>
      <c r="L32" s="7"/>
      <c r="M32" s="7"/>
      <c r="O32" s="8">
        <f t="shared" si="9"/>
        <v>4650</v>
      </c>
    </row>
    <row r="33" spans="1:16" ht="12" customHeight="1" x14ac:dyDescent="0.25">
      <c r="A33" s="6" t="s">
        <v>30</v>
      </c>
      <c r="B33" s="6"/>
      <c r="C33" s="7">
        <f>+'[2]15% 10-7'!C33/0.15</f>
        <v>0</v>
      </c>
      <c r="D33" s="7">
        <f>+'[2]15% 10-7'!D33/0.15</f>
        <v>400</v>
      </c>
      <c r="E33" s="7">
        <f>+'[2]15% 10-7'!E33/0.15</f>
        <v>0</v>
      </c>
      <c r="F33" s="7">
        <f>+'[2]15% 10-7'!F33/0.15</f>
        <v>0</v>
      </c>
      <c r="G33" s="7">
        <f>+'[2]15% 10-7'!G33/0.15</f>
        <v>0</v>
      </c>
      <c r="H33" s="7">
        <f>+'[2]15% 10-7'!H33/0.15</f>
        <v>0</v>
      </c>
      <c r="I33" s="7"/>
      <c r="J33" s="7"/>
      <c r="K33" s="7"/>
      <c r="L33" s="7"/>
      <c r="M33" s="7"/>
      <c r="O33" s="8">
        <f t="shared" si="9"/>
        <v>400</v>
      </c>
    </row>
    <row r="34" spans="1:16" ht="12" customHeight="1" x14ac:dyDescent="0.25">
      <c r="A34" s="6" t="s">
        <v>42</v>
      </c>
      <c r="B34" s="6"/>
      <c r="C34" s="7">
        <f>+'[2]15% 10-7'!C34/0.15</f>
        <v>0</v>
      </c>
      <c r="D34" s="7">
        <f>+'[2]15% 10-7'!D34/0.15</f>
        <v>0</v>
      </c>
      <c r="E34" s="7">
        <f>+'[2]15% 10-7'!E34/0.15</f>
        <v>414.66666666666669</v>
      </c>
      <c r="F34" s="7">
        <f>+'[2]15% 10-7'!F34/0.15</f>
        <v>1135.8666666666668</v>
      </c>
      <c r="G34" s="7">
        <f>+'[2]15% 10-7'!G34/0.15</f>
        <v>428.40000000000003</v>
      </c>
      <c r="H34" s="7">
        <f>+'[2]15% 10-7'!H34/0.15</f>
        <v>0</v>
      </c>
      <c r="I34" s="7"/>
      <c r="J34" s="7"/>
      <c r="K34" s="7"/>
      <c r="L34" s="7"/>
      <c r="M34" s="7"/>
      <c r="N34" s="7"/>
      <c r="O34" s="8">
        <f t="shared" si="9"/>
        <v>1978.9333333333336</v>
      </c>
    </row>
    <row r="35" spans="1:16" ht="12" customHeight="1" x14ac:dyDescent="0.25">
      <c r="A35" s="6" t="s">
        <v>64</v>
      </c>
      <c r="B35" s="6"/>
      <c r="C35" s="7">
        <f>+'[2]15% 10-7'!C35/0.15</f>
        <v>0</v>
      </c>
      <c r="D35" s="7">
        <f>+'[2]15% 10-7'!D35/0.15</f>
        <v>0</v>
      </c>
      <c r="E35" s="7">
        <f>+'[2]15% 10-7'!E35/0.15</f>
        <v>0</v>
      </c>
      <c r="F35" s="7">
        <f>+'[2]15% 10-7'!F35/0.15</f>
        <v>0</v>
      </c>
      <c r="G35" s="7">
        <f>+'[2]15% 10-7'!G35/0.15</f>
        <v>46.8</v>
      </c>
      <c r="H35" s="7">
        <f>+'[2]15% 10-7'!H35/0.15</f>
        <v>371.13333333333338</v>
      </c>
      <c r="I35" s="7"/>
      <c r="J35" s="7"/>
      <c r="K35" s="7"/>
      <c r="L35" s="7"/>
      <c r="M35" s="7"/>
      <c r="O35" s="8">
        <f t="shared" si="9"/>
        <v>417.93333333333339</v>
      </c>
    </row>
    <row r="36" spans="1:16" ht="12" customHeight="1" x14ac:dyDescent="0.25">
      <c r="A36" s="6" t="s">
        <v>32</v>
      </c>
      <c r="B36" s="6"/>
      <c r="C36" s="7">
        <f>+'[2]15% 10-7'!C36/0.15</f>
        <v>690</v>
      </c>
      <c r="D36" s="7">
        <f>+'[2]15% 10-7'!D36/0.15</f>
        <v>0</v>
      </c>
      <c r="E36" s="7">
        <f>+'[2]15% 10-7'!E36/0.15</f>
        <v>0</v>
      </c>
      <c r="F36" s="7">
        <f>+'[2]15% 10-7'!F36/0.15</f>
        <v>0</v>
      </c>
      <c r="G36" s="7">
        <f>+'[2]15% 10-7'!G36/0.15</f>
        <v>0</v>
      </c>
      <c r="H36" s="7">
        <f>+'[2]15% 10-7'!H36/0.15</f>
        <v>0</v>
      </c>
      <c r="I36" s="7"/>
      <c r="J36" s="7"/>
      <c r="K36" s="7"/>
      <c r="L36" s="7"/>
      <c r="M36" s="7"/>
      <c r="O36" s="8">
        <f t="shared" si="9"/>
        <v>690</v>
      </c>
    </row>
    <row r="37" spans="1:16" ht="12" customHeight="1" x14ac:dyDescent="0.25">
      <c r="A37" s="6" t="s">
        <v>33</v>
      </c>
      <c r="B37" s="6"/>
      <c r="C37" s="7">
        <f>+'[2]15% 10-7'!C37/0.15</f>
        <v>3225</v>
      </c>
      <c r="D37" s="7">
        <f>+'[2]15% 10-7'!D37/0.15</f>
        <v>1800</v>
      </c>
      <c r="E37" s="7">
        <f>+'[2]15% 10-7'!E37/0.15</f>
        <v>1350</v>
      </c>
      <c r="F37" s="7">
        <f>+'[2]15% 10-7'!F37/0.15</f>
        <v>1350</v>
      </c>
      <c r="G37" s="7">
        <f>+'[2]15% 10-7'!G37/0.15</f>
        <v>1350</v>
      </c>
      <c r="H37" s="7">
        <f>+'[2]15% 10-7'!H37/0.15</f>
        <v>149.19999999999999</v>
      </c>
      <c r="I37" s="8"/>
      <c r="J37" s="8"/>
      <c r="K37" s="8"/>
      <c r="L37" s="8"/>
      <c r="M37" s="8"/>
      <c r="N37" s="8"/>
      <c r="O37" s="8">
        <f t="shared" si="9"/>
        <v>9224.2000000000007</v>
      </c>
    </row>
    <row r="38" spans="1:16" ht="12" customHeight="1" x14ac:dyDescent="0.25">
      <c r="A38" s="6" t="s">
        <v>34</v>
      </c>
      <c r="B38" s="6"/>
      <c r="C38" s="9">
        <f t="shared" ref="C38:N38" si="10">+C20+C21+C22+C23+C24+C28+C29+C30+C31+C32+C33+C34+C35+C36+C37</f>
        <v>5269.6</v>
      </c>
      <c r="D38" s="9">
        <f t="shared" si="10"/>
        <v>2950</v>
      </c>
      <c r="E38" s="9">
        <f t="shared" si="10"/>
        <v>4428.1333333333332</v>
      </c>
      <c r="F38" s="9">
        <f t="shared" si="10"/>
        <v>3615.8666666666668</v>
      </c>
      <c r="G38" s="9">
        <f t="shared" si="10"/>
        <v>6815.9333333333334</v>
      </c>
      <c r="H38" s="9">
        <f t="shared" si="10"/>
        <v>2258.7333333333331</v>
      </c>
      <c r="I38" s="9">
        <f t="shared" si="10"/>
        <v>0</v>
      </c>
      <c r="J38" s="9">
        <f t="shared" si="10"/>
        <v>0</v>
      </c>
      <c r="K38" s="9">
        <f t="shared" si="10"/>
        <v>0</v>
      </c>
      <c r="L38" s="9">
        <f t="shared" si="10"/>
        <v>0</v>
      </c>
      <c r="M38" s="9">
        <f t="shared" si="10"/>
        <v>0</v>
      </c>
      <c r="N38" s="9">
        <f t="shared" si="10"/>
        <v>0</v>
      </c>
      <c r="O38" s="18">
        <f t="shared" si="9"/>
        <v>25338.266666666666</v>
      </c>
    </row>
    <row r="39" spans="1:16" ht="12" customHeight="1" x14ac:dyDescent="0.25">
      <c r="A39" s="6" t="s">
        <v>35</v>
      </c>
      <c r="B39" s="6"/>
      <c r="C39" s="9">
        <f t="shared" ref="C39:N39" si="11">C38</f>
        <v>5269.6</v>
      </c>
      <c r="D39" s="9">
        <f t="shared" si="11"/>
        <v>2950</v>
      </c>
      <c r="E39" s="9">
        <f t="shared" si="11"/>
        <v>4428.1333333333332</v>
      </c>
      <c r="F39" s="9">
        <f t="shared" si="11"/>
        <v>3615.8666666666668</v>
      </c>
      <c r="G39" s="9">
        <f t="shared" si="11"/>
        <v>6815.9333333333334</v>
      </c>
      <c r="H39" s="9">
        <f t="shared" si="11"/>
        <v>2258.7333333333331</v>
      </c>
      <c r="I39" s="9">
        <f t="shared" si="11"/>
        <v>0</v>
      </c>
      <c r="J39" s="9">
        <f t="shared" si="11"/>
        <v>0</v>
      </c>
      <c r="K39" s="9">
        <f t="shared" si="11"/>
        <v>0</v>
      </c>
      <c r="L39" s="9">
        <f t="shared" si="11"/>
        <v>0</v>
      </c>
      <c r="M39" s="9">
        <f t="shared" si="11"/>
        <v>0</v>
      </c>
      <c r="N39" s="9">
        <f t="shared" si="11"/>
        <v>0</v>
      </c>
      <c r="O39" s="18">
        <f t="shared" si="9"/>
        <v>25338.266666666666</v>
      </c>
    </row>
    <row r="40" spans="1:16" ht="12" customHeight="1" x14ac:dyDescent="0.25">
      <c r="A40" s="6" t="s">
        <v>66</v>
      </c>
      <c r="B40" s="6"/>
      <c r="C40" s="9">
        <f t="shared" ref="C40:N40" si="12">(((C17)-(C39))+(0))-(0)</f>
        <v>44926.666666666672</v>
      </c>
      <c r="D40" s="9">
        <f t="shared" si="12"/>
        <v>41905.73333333333</v>
      </c>
      <c r="E40" s="9">
        <f t="shared" si="12"/>
        <v>35606.199999999997</v>
      </c>
      <c r="F40" s="9">
        <f t="shared" si="12"/>
        <v>40420.533333333326</v>
      </c>
      <c r="G40" s="9">
        <f t="shared" si="12"/>
        <v>37598.866666666669</v>
      </c>
      <c r="H40" s="9">
        <f t="shared" si="12"/>
        <v>-5376</v>
      </c>
      <c r="I40" s="9">
        <f t="shared" si="12"/>
        <v>0</v>
      </c>
      <c r="J40" s="9">
        <f t="shared" si="12"/>
        <v>0</v>
      </c>
      <c r="K40" s="9">
        <f t="shared" si="12"/>
        <v>0</v>
      </c>
      <c r="L40" s="9">
        <f t="shared" si="12"/>
        <v>0</v>
      </c>
      <c r="M40" s="9">
        <f t="shared" si="12"/>
        <v>0</v>
      </c>
      <c r="N40" s="9">
        <f t="shared" si="12"/>
        <v>0</v>
      </c>
      <c r="O40" s="17">
        <f t="shared" si="9"/>
        <v>195081.99999999997</v>
      </c>
    </row>
    <row r="41" spans="1:16" x14ac:dyDescent="0.25">
      <c r="A41" s="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O41" s="7"/>
    </row>
    <row r="42" spans="1:16" ht="12" customHeight="1" x14ac:dyDescent="0.25">
      <c r="A42" s="32" t="s">
        <v>107</v>
      </c>
      <c r="B42" s="32"/>
      <c r="C42" s="33"/>
      <c r="D42" s="33"/>
      <c r="E42" s="33"/>
      <c r="F42" s="33"/>
      <c r="G42" s="34"/>
      <c r="H42" s="34"/>
      <c r="I42" s="34"/>
      <c r="J42" s="34"/>
      <c r="K42" s="34"/>
      <c r="L42" s="34"/>
      <c r="M42" s="34"/>
      <c r="N42" s="34"/>
      <c r="O42" s="35"/>
    </row>
    <row r="43" spans="1:16" ht="12" customHeight="1" x14ac:dyDescent="0.25">
      <c r="A43" s="36" t="s">
        <v>108</v>
      </c>
      <c r="B43" s="37" t="s">
        <v>109</v>
      </c>
      <c r="C43" s="38">
        <f>+C10/C47</f>
        <v>1121.6550918875728</v>
      </c>
      <c r="D43" s="38">
        <f t="shared" ref="D43:H43" si="13">+D10/D47</f>
        <v>827.77631253838729</v>
      </c>
      <c r="E43" s="38">
        <f t="shared" si="13"/>
        <v>761.34011250673018</v>
      </c>
      <c r="F43" s="38">
        <f t="shared" si="13"/>
        <v>694.93494545969679</v>
      </c>
      <c r="G43" s="38">
        <f t="shared" si="13"/>
        <v>757.8246408889288</v>
      </c>
      <c r="H43" s="38">
        <f t="shared" si="13"/>
        <v>0</v>
      </c>
      <c r="I43" s="38"/>
      <c r="J43" s="38"/>
      <c r="K43" s="38"/>
      <c r="L43" s="38"/>
      <c r="M43" s="38"/>
      <c r="N43" s="38"/>
      <c r="O43" s="39">
        <f>SUM(C43:N43)</f>
        <v>4163.5311032813161</v>
      </c>
    </row>
    <row r="44" spans="1:16" ht="12" customHeight="1" x14ac:dyDescent="0.25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34"/>
      <c r="O44" s="35"/>
    </row>
    <row r="45" spans="1:16" ht="12" customHeight="1" x14ac:dyDescent="0.25">
      <c r="A45" s="36" t="s">
        <v>110</v>
      </c>
      <c r="B45" s="37" t="s">
        <v>111</v>
      </c>
      <c r="C45" s="38">
        <v>29.3</v>
      </c>
      <c r="D45" s="38">
        <v>30.8</v>
      </c>
      <c r="E45" s="38">
        <v>28.3</v>
      </c>
      <c r="F45" s="38">
        <v>25.1</v>
      </c>
      <c r="G45" s="38">
        <v>23</v>
      </c>
      <c r="H45" s="38">
        <v>28.3</v>
      </c>
      <c r="I45" s="38"/>
      <c r="J45" s="38"/>
      <c r="K45" s="38"/>
      <c r="L45" s="38"/>
      <c r="M45" s="38"/>
      <c r="N45" s="43"/>
      <c r="O45" s="39">
        <f>SUM(C45:N45)/6</f>
        <v>27.466666666666669</v>
      </c>
    </row>
    <row r="46" spans="1:16" ht="12" customHeight="1" x14ac:dyDescent="0.25">
      <c r="A46" s="40"/>
      <c r="B46" s="32"/>
      <c r="C46" s="44"/>
      <c r="D46" s="33"/>
      <c r="E46" s="33"/>
      <c r="F46" s="33"/>
      <c r="G46" s="34"/>
      <c r="H46" s="34"/>
      <c r="I46" s="34"/>
      <c r="J46" s="34"/>
      <c r="K46" s="34"/>
      <c r="L46" s="34"/>
      <c r="M46" s="34"/>
      <c r="N46" s="34"/>
      <c r="O46" s="45"/>
    </row>
    <row r="47" spans="1:16" ht="12" customHeight="1" x14ac:dyDescent="0.25">
      <c r="A47" s="36" t="s">
        <v>108</v>
      </c>
      <c r="B47" s="37" t="s">
        <v>112</v>
      </c>
      <c r="C47" s="42">
        <f>283.68/6.289</f>
        <v>45.107330259182703</v>
      </c>
      <c r="D47" s="46">
        <f>379.9/6.289</f>
        <v>60.407059945937348</v>
      </c>
      <c r="E47" s="46">
        <f>414.79/6.289</f>
        <v>65.954841787247588</v>
      </c>
      <c r="F47" s="46">
        <f>447.07/6.289</f>
        <v>71.087613293051362</v>
      </c>
      <c r="G47" s="47">
        <f>446.38/6.289</f>
        <v>70.977897916997932</v>
      </c>
      <c r="H47" s="47">
        <f>346.36/6.289</f>
        <v>55.073938622992529</v>
      </c>
      <c r="I47" s="47"/>
      <c r="J47" s="47"/>
      <c r="K47" s="47"/>
      <c r="L47" s="47"/>
      <c r="M47" s="47"/>
      <c r="N47" s="48"/>
      <c r="O47" s="39">
        <f>SUM(C47:N47)/6</f>
        <v>61.434780304234913</v>
      </c>
    </row>
    <row r="48" spans="1:16" ht="12" customHeight="1" x14ac:dyDescent="0.25">
      <c r="A48" s="40"/>
      <c r="B48" s="32"/>
      <c r="C48" s="49"/>
      <c r="D48" s="50"/>
      <c r="E48" s="50"/>
      <c r="F48" s="50"/>
      <c r="P48" s="51"/>
    </row>
    <row r="49" spans="1:15" ht="12" customHeight="1" x14ac:dyDescent="0.25">
      <c r="A49" s="36" t="s">
        <v>113</v>
      </c>
      <c r="B49" s="37" t="s">
        <v>114</v>
      </c>
      <c r="C49" s="52">
        <f>+C12</f>
        <v>50594.866666666669</v>
      </c>
      <c r="D49" s="52">
        <f t="shared" ref="D49:H49" si="14">+D12</f>
        <v>50003.533333333333</v>
      </c>
      <c r="E49" s="52">
        <f t="shared" si="14"/>
        <v>50214.066666666666</v>
      </c>
      <c r="F49" s="52">
        <f t="shared" si="14"/>
        <v>49401.266666666663</v>
      </c>
      <c r="G49" s="52">
        <f t="shared" si="14"/>
        <v>53788.800000000003</v>
      </c>
      <c r="H49" s="52">
        <f t="shared" si="14"/>
        <v>0</v>
      </c>
      <c r="I49" s="52"/>
      <c r="J49" s="52"/>
      <c r="K49" s="52"/>
      <c r="L49" s="52"/>
      <c r="M49" s="52"/>
      <c r="N49" s="52"/>
      <c r="O49" s="53">
        <f>SUM(C49:N49)</f>
        <v>254002.53333333333</v>
      </c>
    </row>
    <row r="50" spans="1:15" ht="12" customHeight="1" x14ac:dyDescent="0.25">
      <c r="A50" s="36" t="s">
        <v>115</v>
      </c>
      <c r="B50" s="37" t="s">
        <v>114</v>
      </c>
      <c r="C50" s="52">
        <f>+C15</f>
        <v>-398.6</v>
      </c>
      <c r="D50" s="52">
        <f t="shared" ref="D50:H50" si="15">+D15</f>
        <v>-5147.8</v>
      </c>
      <c r="E50" s="52">
        <f t="shared" si="15"/>
        <v>-10179.733333333334</v>
      </c>
      <c r="F50" s="52">
        <f t="shared" si="15"/>
        <v>-5364.8666666666668</v>
      </c>
      <c r="G50" s="52">
        <f t="shared" si="15"/>
        <v>-9374</v>
      </c>
      <c r="H50" s="52">
        <f t="shared" si="15"/>
        <v>-3117.2666666666664</v>
      </c>
      <c r="I50" s="52"/>
      <c r="J50" s="52"/>
      <c r="K50" s="52"/>
      <c r="L50" s="52"/>
      <c r="M50" s="52"/>
      <c r="N50" s="52"/>
      <c r="O50" s="53">
        <f>SUM(C50:N50)</f>
        <v>-33582.266666666663</v>
      </c>
    </row>
    <row r="51" spans="1:15" ht="12" customHeight="1" x14ac:dyDescent="0.25">
      <c r="A51" s="36" t="s">
        <v>18</v>
      </c>
      <c r="B51" s="37" t="s">
        <v>114</v>
      </c>
      <c r="C51" s="52">
        <f>+C38</f>
        <v>5269.6</v>
      </c>
      <c r="D51" s="52">
        <f t="shared" ref="D51:H51" si="16">+D38</f>
        <v>2950</v>
      </c>
      <c r="E51" s="52">
        <f t="shared" si="16"/>
        <v>4428.1333333333332</v>
      </c>
      <c r="F51" s="52">
        <f t="shared" si="16"/>
        <v>3615.8666666666668</v>
      </c>
      <c r="G51" s="52">
        <f t="shared" si="16"/>
        <v>6815.9333333333334</v>
      </c>
      <c r="H51" s="52">
        <f t="shared" si="16"/>
        <v>2258.7333333333331</v>
      </c>
      <c r="I51" s="52"/>
      <c r="J51" s="52"/>
      <c r="K51" s="52"/>
      <c r="L51" s="52"/>
      <c r="M51" s="52"/>
      <c r="N51" s="52"/>
      <c r="O51" s="53">
        <f>SUM(C51:N51)</f>
        <v>25338.266666666666</v>
      </c>
    </row>
    <row r="52" spans="1:15" ht="12" customHeight="1" x14ac:dyDescent="0.25">
      <c r="A52" s="40" t="s">
        <v>113</v>
      </c>
      <c r="B52" s="41" t="s">
        <v>112</v>
      </c>
      <c r="C52" s="54">
        <f>+C49/C43</f>
        <v>45.107330259182703</v>
      </c>
      <c r="D52" s="54">
        <f t="shared" ref="D52:G52" si="17">+D49/D43</f>
        <v>60.407059945937348</v>
      </c>
      <c r="E52" s="54">
        <f t="shared" si="17"/>
        <v>65.954841787247588</v>
      </c>
      <c r="F52" s="54">
        <f t="shared" si="17"/>
        <v>71.087613293051362</v>
      </c>
      <c r="G52" s="54">
        <f t="shared" si="17"/>
        <v>70.977897916997932</v>
      </c>
      <c r="H52" s="54">
        <v>0</v>
      </c>
      <c r="I52" s="54"/>
      <c r="J52" s="54"/>
      <c r="K52" s="54"/>
      <c r="L52" s="54"/>
      <c r="M52" s="54"/>
      <c r="N52" s="54"/>
      <c r="O52" s="55">
        <f>SUM(C52:N52)/5</f>
        <v>62.70694864048339</v>
      </c>
    </row>
    <row r="53" spans="1:15" ht="12" customHeight="1" x14ac:dyDescent="0.25">
      <c r="A53" s="36" t="s">
        <v>115</v>
      </c>
      <c r="B53" s="37" t="s">
        <v>112</v>
      </c>
      <c r="C53" s="56">
        <f>+C50/C43</f>
        <v>-0.35536770873942863</v>
      </c>
      <c r="D53" s="56">
        <f t="shared" ref="D53:G53" si="18">+D50/D43</f>
        <v>-6.218829799821405</v>
      </c>
      <c r="E53" s="56">
        <f t="shared" si="18"/>
        <v>-13.370809137871802</v>
      </c>
      <c r="F53" s="56">
        <f t="shared" si="18"/>
        <v>-7.7199552299357004</v>
      </c>
      <c r="G53" s="56">
        <f t="shared" si="18"/>
        <v>-12.369616259777844</v>
      </c>
      <c r="H53" s="56">
        <f>+'[2]15% 10-7'!H53</f>
        <v>0</v>
      </c>
      <c r="I53" s="56"/>
      <c r="J53" s="56"/>
      <c r="K53" s="56"/>
      <c r="L53" s="56"/>
      <c r="M53" s="56"/>
      <c r="N53" s="56"/>
      <c r="O53" s="57">
        <f>SUM(C53:N53)/5</f>
        <v>-8.0069156272292368</v>
      </c>
    </row>
    <row r="54" spans="1:15" ht="12" customHeight="1" x14ac:dyDescent="0.25">
      <c r="A54" s="36" t="s">
        <v>18</v>
      </c>
      <c r="B54" s="37" t="s">
        <v>112</v>
      </c>
      <c r="C54" s="56">
        <f>+C51/C43</f>
        <v>4.6980573958185978</v>
      </c>
      <c r="D54" s="56">
        <f t="shared" ref="D54:G54" si="19">+D51/D43</f>
        <v>3.5637646974383514</v>
      </c>
      <c r="E54" s="56">
        <f t="shared" si="19"/>
        <v>5.8162354256543773</v>
      </c>
      <c r="F54" s="56">
        <f t="shared" si="19"/>
        <v>5.2031728873193801</v>
      </c>
      <c r="G54" s="56">
        <f t="shared" si="19"/>
        <v>8.9940772120292092</v>
      </c>
      <c r="H54" s="56">
        <v>0</v>
      </c>
      <c r="I54" s="56"/>
      <c r="J54" s="56"/>
      <c r="K54" s="56"/>
      <c r="L54" s="56"/>
      <c r="M54" s="56"/>
      <c r="N54" s="56"/>
      <c r="O54" s="58">
        <f>SUM(C54:N54)/5</f>
        <v>5.655061523651983</v>
      </c>
    </row>
    <row r="55" spans="1:15" ht="12" customHeight="1" x14ac:dyDescent="0.25">
      <c r="A55" s="40" t="s">
        <v>116</v>
      </c>
      <c r="B55" s="41" t="s">
        <v>112</v>
      </c>
      <c r="C55" s="54">
        <f>+C52+C53-C54</f>
        <v>40.053905154624672</v>
      </c>
      <c r="D55" s="54">
        <f t="shared" ref="D55:H55" si="20">+D52+D53-D54</f>
        <v>50.62446544867759</v>
      </c>
      <c r="E55" s="54">
        <f t="shared" si="20"/>
        <v>46.767797223721409</v>
      </c>
      <c r="F55" s="54">
        <f t="shared" si="20"/>
        <v>58.16448517579628</v>
      </c>
      <c r="G55" s="54">
        <f t="shared" si="20"/>
        <v>49.614204445190879</v>
      </c>
      <c r="H55" s="54">
        <f t="shared" si="20"/>
        <v>0</v>
      </c>
      <c r="I55" s="54"/>
      <c r="J55" s="54"/>
      <c r="K55" s="54"/>
      <c r="L55" s="54"/>
      <c r="M55" s="54"/>
      <c r="N55" s="54"/>
      <c r="O55" s="55">
        <f>SUM(C55:N55)/5</f>
        <v>49.044971489602162</v>
      </c>
    </row>
    <row r="56" spans="1:15" ht="12" customHeight="1" x14ac:dyDescent="0.25">
      <c r="A56" s="40" t="s">
        <v>117</v>
      </c>
      <c r="B56" s="59" t="s">
        <v>118</v>
      </c>
      <c r="C56" s="54">
        <f>-C14/C10*100</f>
        <v>0.78782696004733033</v>
      </c>
      <c r="D56" s="54">
        <f t="shared" ref="D56:G56" si="21">-D14/D10*100</f>
        <v>10.294872495676973</v>
      </c>
      <c r="E56" s="54">
        <f t="shared" si="21"/>
        <v>20.272672597718302</v>
      </c>
      <c r="F56" s="54">
        <f t="shared" si="21"/>
        <v>10.859775525323913</v>
      </c>
      <c r="G56" s="54">
        <f t="shared" si="21"/>
        <v>17.427419834612408</v>
      </c>
      <c r="H56" s="54">
        <f>-H50/(H45*30*H47)*100</f>
        <v>6.666841483811468</v>
      </c>
      <c r="I56" s="54"/>
      <c r="J56" s="54"/>
      <c r="K56" s="54"/>
      <c r="L56" s="54"/>
      <c r="M56" s="54"/>
      <c r="N56" s="54"/>
      <c r="O56" s="55">
        <f>SUM(C56:N56)/6</f>
        <v>11.051568149531732</v>
      </c>
    </row>
    <row r="57" spans="1:15" ht="12" customHeight="1" x14ac:dyDescent="0.25">
      <c r="A57" s="36" t="s">
        <v>119</v>
      </c>
      <c r="B57" s="60" t="s">
        <v>118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/>
      <c r="J57" s="56"/>
      <c r="K57" s="56"/>
      <c r="L57" s="56"/>
      <c r="M57" s="56"/>
      <c r="N57" s="56"/>
      <c r="O57" s="58">
        <f>SUM(C57:N57)/6</f>
        <v>0</v>
      </c>
    </row>
    <row r="58" spans="1:15" ht="12" customHeight="1" x14ac:dyDescent="0.25">
      <c r="A58" s="40" t="s">
        <v>120</v>
      </c>
      <c r="B58" s="59" t="s">
        <v>118</v>
      </c>
      <c r="C58" s="54">
        <f>+C50/C49*100</f>
        <v>-0.78782696004733033</v>
      </c>
      <c r="D58" s="54">
        <f t="shared" ref="D58:G58" si="22">+D50/D49*100</f>
        <v>-10.294872495676973</v>
      </c>
      <c r="E58" s="54">
        <f t="shared" si="22"/>
        <v>-20.272672597718302</v>
      </c>
      <c r="F58" s="54">
        <f t="shared" si="22"/>
        <v>-10.859775525323913</v>
      </c>
      <c r="G58" s="54">
        <f t="shared" si="22"/>
        <v>-17.427419834612408</v>
      </c>
      <c r="H58" s="54">
        <f>-H56</f>
        <v>-6.666841483811468</v>
      </c>
      <c r="I58" s="54"/>
      <c r="J58" s="54"/>
      <c r="K58" s="54"/>
      <c r="L58" s="54"/>
      <c r="M58" s="54"/>
      <c r="N58" s="54"/>
      <c r="O58" s="55">
        <f>SUM(C58:N58)/6</f>
        <v>-11.051568149531732</v>
      </c>
    </row>
    <row r="59" spans="1:15" ht="12" customHeight="1" x14ac:dyDescent="0.25">
      <c r="A59" s="36" t="s">
        <v>121</v>
      </c>
      <c r="B59" s="60" t="s">
        <v>118</v>
      </c>
      <c r="C59" s="56">
        <f>C51/C49*100</f>
        <v>10.415285872216286</v>
      </c>
      <c r="D59" s="56">
        <f t="shared" ref="D59:G59" si="23">D51/D49*100</f>
        <v>5.8995830961278735</v>
      </c>
      <c r="E59" s="56">
        <f t="shared" si="23"/>
        <v>8.818511678666404</v>
      </c>
      <c r="F59" s="56">
        <f t="shared" si="23"/>
        <v>7.3193804747246709</v>
      </c>
      <c r="G59" s="56">
        <f t="shared" si="23"/>
        <v>12.671659031867849</v>
      </c>
      <c r="H59" s="56">
        <v>0</v>
      </c>
      <c r="I59" s="56"/>
      <c r="J59" s="56"/>
      <c r="K59" s="56"/>
      <c r="L59" s="56"/>
      <c r="M59" s="56"/>
      <c r="N59" s="56"/>
      <c r="O59" s="57">
        <f>SUM(C59:N59)/5</f>
        <v>9.0248840307206173</v>
      </c>
    </row>
    <row r="60" spans="1:15" ht="12" customHeight="1" x14ac:dyDescent="0.25">
      <c r="A60" s="61" t="s">
        <v>122</v>
      </c>
      <c r="B60" s="62" t="s">
        <v>118</v>
      </c>
      <c r="C60" s="63">
        <f>C51/(C49+C50)*100</f>
        <v>10.497991882530441</v>
      </c>
      <c r="D60" s="63">
        <f t="shared" ref="D60:G60" si="24">D51/(D49+D50)*100</f>
        <v>6.5766397755173625</v>
      </c>
      <c r="E60" s="63">
        <f t="shared" si="24"/>
        <v>11.060839446142062</v>
      </c>
      <c r="F60" s="63">
        <f t="shared" si="24"/>
        <v>8.211085980385926</v>
      </c>
      <c r="G60" s="63">
        <f t="shared" si="24"/>
        <v>15.346085839254783</v>
      </c>
      <c r="H60" s="63">
        <v>0</v>
      </c>
      <c r="I60" s="63"/>
      <c r="J60" s="63"/>
      <c r="K60" s="63"/>
      <c r="L60" s="63"/>
      <c r="M60" s="63"/>
      <c r="N60" s="63"/>
      <c r="O60" s="58">
        <f>SUM(C60:N60)/5</f>
        <v>10.338528584766115</v>
      </c>
    </row>
  </sheetData>
  <mergeCells count="3">
    <mergeCell ref="A1:O1"/>
    <mergeCell ref="A2:O2"/>
    <mergeCell ref="A3:O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F2381-9543-45E8-AED7-E304ECCB4FA5}">
  <dimension ref="A1:H33"/>
  <sheetViews>
    <sheetView topLeftCell="A13" workbookViewId="0">
      <selection activeCell="H27" sqref="H27"/>
    </sheetView>
  </sheetViews>
  <sheetFormatPr defaultRowHeight="15" x14ac:dyDescent="0.25"/>
  <cols>
    <col min="1" max="1" width="30.140625" customWidth="1"/>
    <col min="2" max="7" width="8.570312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91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4717.57</f>
        <v>4717.57</v>
      </c>
      <c r="C9" s="27">
        <f>3624.09</f>
        <v>3624.09</v>
      </c>
      <c r="D9" s="27">
        <f>4957.7</f>
        <v>4957.7</v>
      </c>
      <c r="E9" s="27">
        <f>6179.14</f>
        <v>6179.14</v>
      </c>
      <c r="F9" s="27">
        <f>5719.23</f>
        <v>5719.23</v>
      </c>
      <c r="G9" s="27">
        <f>4648.27</f>
        <v>4648.2700000000004</v>
      </c>
      <c r="H9" s="27">
        <f t="shared" si="0"/>
        <v>29846</v>
      </c>
    </row>
    <row r="10" spans="1:8" x14ac:dyDescent="0.25">
      <c r="A10" s="25" t="s">
        <v>14</v>
      </c>
      <c r="B10" s="28">
        <f t="shared" ref="B10:G10" si="1">(B8)+(B9)</f>
        <v>4717.57</v>
      </c>
      <c r="C10" s="28">
        <f t="shared" si="1"/>
        <v>3624.09</v>
      </c>
      <c r="D10" s="28">
        <f t="shared" si="1"/>
        <v>4957.7</v>
      </c>
      <c r="E10" s="28">
        <f t="shared" si="1"/>
        <v>6179.14</v>
      </c>
      <c r="F10" s="28">
        <f t="shared" si="1"/>
        <v>5719.23</v>
      </c>
      <c r="G10" s="28">
        <f t="shared" si="1"/>
        <v>4648.2700000000004</v>
      </c>
      <c r="H10" s="28">
        <f t="shared" si="0"/>
        <v>29846</v>
      </c>
    </row>
    <row r="11" spans="1:8" x14ac:dyDescent="0.25">
      <c r="A11" s="25" t="s">
        <v>15</v>
      </c>
      <c r="B11" s="28">
        <f t="shared" ref="B11:G11" si="2">(B7)+(B10)</f>
        <v>4717.57</v>
      </c>
      <c r="C11" s="28">
        <f t="shared" si="2"/>
        <v>3624.09</v>
      </c>
      <c r="D11" s="28">
        <f t="shared" si="2"/>
        <v>4957.7</v>
      </c>
      <c r="E11" s="28">
        <f t="shared" si="2"/>
        <v>6179.14</v>
      </c>
      <c r="F11" s="28">
        <f t="shared" si="2"/>
        <v>5719.23</v>
      </c>
      <c r="G11" s="28">
        <f t="shared" si="2"/>
        <v>4648.2700000000004</v>
      </c>
      <c r="H11" s="28">
        <f t="shared" si="0"/>
        <v>29846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f t="shared" si="0"/>
        <v>0</v>
      </c>
    </row>
    <row r="14" spans="1:8" x14ac:dyDescent="0.25">
      <c r="A14" s="25" t="s">
        <v>41</v>
      </c>
      <c r="B14" s="28">
        <f t="shared" ref="B14:G14" si="3">(B12)+(B13)</f>
        <v>0</v>
      </c>
      <c r="C14" s="28">
        <f t="shared" si="3"/>
        <v>0</v>
      </c>
      <c r="D14" s="28">
        <f t="shared" si="3"/>
        <v>0</v>
      </c>
      <c r="E14" s="28">
        <f t="shared" si="3"/>
        <v>0</v>
      </c>
      <c r="F14" s="28">
        <f t="shared" si="3"/>
        <v>0</v>
      </c>
      <c r="G14" s="28">
        <f t="shared" si="3"/>
        <v>0</v>
      </c>
      <c r="H14" s="28">
        <f t="shared" si="0"/>
        <v>0</v>
      </c>
    </row>
    <row r="15" spans="1:8" x14ac:dyDescent="0.25">
      <c r="A15" s="25" t="s">
        <v>16</v>
      </c>
      <c r="B15" s="28">
        <f t="shared" ref="B15:G15" si="4">(B11)+(B14)</f>
        <v>4717.57</v>
      </c>
      <c r="C15" s="28">
        <f t="shared" si="4"/>
        <v>3624.09</v>
      </c>
      <c r="D15" s="28">
        <f t="shared" si="4"/>
        <v>4957.7</v>
      </c>
      <c r="E15" s="28">
        <f t="shared" si="4"/>
        <v>6179.14</v>
      </c>
      <c r="F15" s="28">
        <f t="shared" si="4"/>
        <v>5719.23</v>
      </c>
      <c r="G15" s="28">
        <f t="shared" si="4"/>
        <v>4648.2700000000004</v>
      </c>
      <c r="H15" s="28">
        <f t="shared" si="0"/>
        <v>29846</v>
      </c>
    </row>
    <row r="16" spans="1:8" x14ac:dyDescent="0.25">
      <c r="A16" s="25" t="s">
        <v>17</v>
      </c>
      <c r="B16" s="28">
        <f t="shared" ref="B16:G16" si="5">(B15)-(0)</f>
        <v>4717.57</v>
      </c>
      <c r="C16" s="28">
        <f t="shared" si="5"/>
        <v>3624.09</v>
      </c>
      <c r="D16" s="28">
        <f t="shared" si="5"/>
        <v>4957.7</v>
      </c>
      <c r="E16" s="28">
        <f t="shared" si="5"/>
        <v>6179.14</v>
      </c>
      <c r="F16" s="28">
        <f t="shared" si="5"/>
        <v>5719.23</v>
      </c>
      <c r="G16" s="28">
        <f t="shared" si="5"/>
        <v>4648.2700000000004</v>
      </c>
      <c r="H16" s="28">
        <f t="shared" si="0"/>
        <v>29846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29" si="6">(((((B18)+(C18))+(D18))+(E18))+(F18))+(G18)</f>
        <v>0</v>
      </c>
    </row>
    <row r="19" spans="1:8" x14ac:dyDescent="0.25">
      <c r="A19" s="25" t="s">
        <v>21</v>
      </c>
      <c r="B19" s="27">
        <f>430.46</f>
        <v>430.46</v>
      </c>
      <c r="C19" s="27">
        <f>334.5</f>
        <v>334.5</v>
      </c>
      <c r="D19" s="27">
        <f>430.45</f>
        <v>430.45</v>
      </c>
      <c r="E19" s="27">
        <f>395.5</f>
        <v>395.5</v>
      </c>
      <c r="F19" s="27">
        <f>385</f>
        <v>385</v>
      </c>
      <c r="G19" s="27">
        <f>812.2</f>
        <v>812.2</v>
      </c>
      <c r="H19" s="27">
        <f t="shared" si="6"/>
        <v>2788.11</v>
      </c>
    </row>
    <row r="20" spans="1:8" x14ac:dyDescent="0.25">
      <c r="A20" s="25" t="s">
        <v>22</v>
      </c>
      <c r="B20" s="27">
        <f>670.2</f>
        <v>670.2</v>
      </c>
      <c r="C20" s="27">
        <f>1125.77</f>
        <v>1125.77</v>
      </c>
      <c r="D20" s="27">
        <f>819.83</f>
        <v>819.83</v>
      </c>
      <c r="E20" s="27">
        <f>661.15</f>
        <v>661.15</v>
      </c>
      <c r="F20" s="27">
        <f>763.27</f>
        <v>763.27</v>
      </c>
      <c r="G20" s="27">
        <f>609.78</f>
        <v>609.78</v>
      </c>
      <c r="H20" s="27">
        <f t="shared" si="6"/>
        <v>4650</v>
      </c>
    </row>
    <row r="21" spans="1:8" x14ac:dyDescent="0.25">
      <c r="A21" s="25" t="s">
        <v>27</v>
      </c>
      <c r="B21" s="26"/>
      <c r="C21" s="26"/>
      <c r="D21" s="27">
        <f>57.3</f>
        <v>57.3</v>
      </c>
      <c r="E21" s="26"/>
      <c r="F21" s="27">
        <f>187.97</f>
        <v>187.97</v>
      </c>
      <c r="G21" s="26"/>
      <c r="H21" s="27">
        <f t="shared" si="6"/>
        <v>245.26999999999998</v>
      </c>
    </row>
    <row r="22" spans="1:8" x14ac:dyDescent="0.25">
      <c r="A22" s="25" t="s">
        <v>28</v>
      </c>
      <c r="B22" s="26"/>
      <c r="C22" s="26"/>
      <c r="D22" s="26"/>
      <c r="E22" s="26"/>
      <c r="F22" s="26"/>
      <c r="G22" s="27">
        <f>64.76</f>
        <v>64.760000000000005</v>
      </c>
      <c r="H22" s="27">
        <f t="shared" si="6"/>
        <v>64.760000000000005</v>
      </c>
    </row>
    <row r="23" spans="1:8" x14ac:dyDescent="0.25">
      <c r="A23" s="25" t="s">
        <v>29</v>
      </c>
      <c r="B23" s="26"/>
      <c r="C23" s="26"/>
      <c r="D23" s="26"/>
      <c r="E23" s="27">
        <f>142.5</f>
        <v>142.5</v>
      </c>
      <c r="F23" s="26"/>
      <c r="G23" s="26"/>
      <c r="H23" s="27">
        <f t="shared" si="6"/>
        <v>142.5</v>
      </c>
    </row>
    <row r="24" spans="1:8" x14ac:dyDescent="0.25">
      <c r="A24" s="25" t="s">
        <v>30</v>
      </c>
      <c r="B24" s="26"/>
      <c r="C24" s="26"/>
      <c r="D24" s="26"/>
      <c r="E24" s="26"/>
      <c r="F24" s="27">
        <f>115.9</f>
        <v>115.9</v>
      </c>
      <c r="G24" s="26"/>
      <c r="H24" s="27">
        <f t="shared" si="6"/>
        <v>115.9</v>
      </c>
    </row>
    <row r="25" spans="1:8" x14ac:dyDescent="0.25">
      <c r="A25" s="25" t="s">
        <v>31</v>
      </c>
      <c r="B25" s="26"/>
      <c r="C25" s="26"/>
      <c r="D25" s="26"/>
      <c r="E25" s="26"/>
      <c r="F25" s="26"/>
      <c r="G25" s="27">
        <f>47.67</f>
        <v>47.67</v>
      </c>
      <c r="H25" s="27">
        <f t="shared" si="6"/>
        <v>47.67</v>
      </c>
    </row>
    <row r="26" spans="1:8" x14ac:dyDescent="0.25">
      <c r="A26" s="25" t="s">
        <v>33</v>
      </c>
      <c r="B26" s="27">
        <f>253.44</f>
        <v>253.44</v>
      </c>
      <c r="C26" s="27">
        <f>177.97</f>
        <v>177.97</v>
      </c>
      <c r="D26" s="27">
        <f>217.2</f>
        <v>217.2</v>
      </c>
      <c r="E26" s="27">
        <f>243.97</f>
        <v>243.97</v>
      </c>
      <c r="F26" s="27">
        <f>257.91</f>
        <v>257.91000000000003</v>
      </c>
      <c r="G26" s="27">
        <f>502.39</f>
        <v>502.39</v>
      </c>
      <c r="H26" s="27">
        <f t="shared" si="6"/>
        <v>1652.88</v>
      </c>
    </row>
    <row r="27" spans="1:8" x14ac:dyDescent="0.25">
      <c r="A27" s="25" t="s">
        <v>34</v>
      </c>
      <c r="B27" s="28">
        <f t="shared" ref="B27:G27" si="7">((((((((B18)+(B19))+(B20))+(B21))+(B22))+(B23))+(B24))+(B25))+(B26)</f>
        <v>1354.1000000000001</v>
      </c>
      <c r="C27" s="28">
        <f t="shared" si="7"/>
        <v>1638.24</v>
      </c>
      <c r="D27" s="28">
        <f t="shared" si="7"/>
        <v>1524.78</v>
      </c>
      <c r="E27" s="28">
        <f t="shared" si="7"/>
        <v>1443.1200000000001</v>
      </c>
      <c r="F27" s="28">
        <f t="shared" si="7"/>
        <v>1710.0500000000002</v>
      </c>
      <c r="G27" s="28">
        <f t="shared" si="7"/>
        <v>2036.8000000000002</v>
      </c>
      <c r="H27" s="28">
        <f t="shared" si="6"/>
        <v>9707.09</v>
      </c>
    </row>
    <row r="28" spans="1:8" x14ac:dyDescent="0.25">
      <c r="A28" s="25" t="s">
        <v>35</v>
      </c>
      <c r="B28" s="28">
        <f t="shared" ref="B28:G28" si="8">B27</f>
        <v>1354.1000000000001</v>
      </c>
      <c r="C28" s="28">
        <f t="shared" si="8"/>
        <v>1638.24</v>
      </c>
      <c r="D28" s="28">
        <f t="shared" si="8"/>
        <v>1524.78</v>
      </c>
      <c r="E28" s="28">
        <f t="shared" si="8"/>
        <v>1443.1200000000001</v>
      </c>
      <c r="F28" s="28">
        <f t="shared" si="8"/>
        <v>1710.0500000000002</v>
      </c>
      <c r="G28" s="28">
        <f t="shared" si="8"/>
        <v>2036.8000000000002</v>
      </c>
      <c r="H28" s="28">
        <f t="shared" si="6"/>
        <v>9707.09</v>
      </c>
    </row>
    <row r="29" spans="1:8" x14ac:dyDescent="0.25">
      <c r="A29" s="25" t="s">
        <v>36</v>
      </c>
      <c r="B29" s="28">
        <f t="shared" ref="B29:G29" si="9">(((B16)-(B28))+(0))-(0)</f>
        <v>3363.4699999999993</v>
      </c>
      <c r="C29" s="28">
        <f t="shared" si="9"/>
        <v>1985.8500000000001</v>
      </c>
      <c r="D29" s="28">
        <f t="shared" si="9"/>
        <v>3432.92</v>
      </c>
      <c r="E29" s="28">
        <f t="shared" si="9"/>
        <v>4736.0200000000004</v>
      </c>
      <c r="F29" s="28">
        <f t="shared" si="9"/>
        <v>4009.1799999999994</v>
      </c>
      <c r="G29" s="28">
        <f t="shared" si="9"/>
        <v>2611.4700000000003</v>
      </c>
      <c r="H29" s="28">
        <f t="shared" si="6"/>
        <v>20138.91</v>
      </c>
    </row>
    <row r="30" spans="1:8" x14ac:dyDescent="0.25">
      <c r="A30" s="25"/>
      <c r="B30" s="26"/>
      <c r="C30" s="26"/>
      <c r="D30" s="26"/>
      <c r="E30" s="26"/>
      <c r="F30" s="26"/>
      <c r="G30" s="26"/>
      <c r="H30" s="26"/>
    </row>
    <row r="33" spans="1:8" x14ac:dyDescent="0.25">
      <c r="A33" s="29" t="s">
        <v>92</v>
      </c>
      <c r="B33" s="2"/>
      <c r="C33" s="2"/>
      <c r="D33" s="2"/>
      <c r="E33" s="2"/>
      <c r="F33" s="2"/>
      <c r="G33" s="2"/>
      <c r="H33" s="2"/>
    </row>
  </sheetData>
  <mergeCells count="4">
    <mergeCell ref="A1:H1"/>
    <mergeCell ref="A2:H2"/>
    <mergeCell ref="A3:H3"/>
    <mergeCell ref="A33:H3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54F49-29DA-4AEB-936C-BF7AEAA99207}">
  <dimension ref="A1:O62"/>
  <sheetViews>
    <sheetView workbookViewId="0">
      <selection activeCell="J23" sqref="J23"/>
    </sheetView>
  </sheetViews>
  <sheetFormatPr defaultRowHeight="15" x14ac:dyDescent="0.25"/>
  <cols>
    <col min="1" max="1" width="30.140625" customWidth="1"/>
    <col min="2" max="2" width="7.5703125" customWidth="1"/>
    <col min="3" max="5" width="9.5703125" bestFit="1" customWidth="1"/>
    <col min="6" max="13" width="9.42578125" customWidth="1"/>
    <col min="14" max="14" width="10.42578125" bestFit="1" customWidth="1"/>
    <col min="15" max="15" width="13.140625" bestFit="1" customWidth="1"/>
  </cols>
  <sheetData>
    <row r="1" spans="1:15" ht="18" x14ac:dyDescent="0.2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8" x14ac:dyDescent="0.25">
      <c r="A2" s="1" t="s">
        <v>123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3" t="s">
        <v>97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5" spans="1:15" ht="12" customHeight="1" x14ac:dyDescent="0.25">
      <c r="A5" s="4"/>
      <c r="B5" s="4"/>
      <c r="C5" s="15">
        <v>43466</v>
      </c>
      <c r="D5" s="15">
        <v>43514</v>
      </c>
      <c r="E5" s="15">
        <v>43542</v>
      </c>
      <c r="F5" s="15">
        <v>43573</v>
      </c>
      <c r="G5" s="15">
        <v>43603</v>
      </c>
      <c r="H5" s="15">
        <v>43634</v>
      </c>
      <c r="I5" s="15">
        <v>43664</v>
      </c>
      <c r="J5" s="15">
        <v>43695</v>
      </c>
      <c r="K5" s="15">
        <v>43726</v>
      </c>
      <c r="L5" s="15">
        <v>43756</v>
      </c>
      <c r="M5" s="15">
        <v>43787</v>
      </c>
      <c r="N5" s="15">
        <v>43817</v>
      </c>
      <c r="O5" s="5" t="s">
        <v>9</v>
      </c>
    </row>
    <row r="6" spans="1:15" ht="12" customHeight="1" x14ac:dyDescent="0.25">
      <c r="A6" s="6" t="s">
        <v>53</v>
      </c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O6" s="7"/>
    </row>
    <row r="7" spans="1:15" ht="12" customHeight="1" x14ac:dyDescent="0.25">
      <c r="A7" s="6" t="s">
        <v>54</v>
      </c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O7" s="8"/>
    </row>
    <row r="8" spans="1:15" ht="12" customHeight="1" x14ac:dyDescent="0.25">
      <c r="A8" s="6" t="s">
        <v>98</v>
      </c>
      <c r="B8" s="6"/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/>
      <c r="J8" s="7"/>
      <c r="K8" s="7"/>
      <c r="L8" s="7"/>
      <c r="M8" s="7"/>
      <c r="N8" s="7"/>
      <c r="O8" s="8">
        <f>SUM(C8:N8)</f>
        <v>0</v>
      </c>
    </row>
    <row r="9" spans="1:15" ht="12" customHeight="1" x14ac:dyDescent="0.25">
      <c r="A9" s="6" t="s">
        <v>99</v>
      </c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O9" s="8"/>
    </row>
    <row r="10" spans="1:15" ht="12" customHeight="1" x14ac:dyDescent="0.25">
      <c r="A10" s="6" t="s">
        <v>100</v>
      </c>
      <c r="B10" s="6"/>
      <c r="C10" s="8">
        <f>+'[3]15% 9-30'!C10/0.15</f>
        <v>15900.77</v>
      </c>
      <c r="D10" s="8">
        <f>+'[3]15% 9-30'!D10/0.15</f>
        <v>16738</v>
      </c>
      <c r="E10" s="8">
        <f>+'[3]15% 9-30'!E10/0.15</f>
        <v>17596</v>
      </c>
      <c r="F10" s="8">
        <f>+'[3]15% 9-30'!F10/0.15</f>
        <v>47672.666666666664</v>
      </c>
      <c r="G10" s="8">
        <f>+'[3]15% 9-30'!G10/0.15</f>
        <v>36896.800000000003</v>
      </c>
      <c r="H10" s="8">
        <f>+'[3]15% 9-30'!H10/0.15</f>
        <v>15222.533333333335</v>
      </c>
      <c r="I10" s="8"/>
      <c r="J10" s="8"/>
      <c r="K10" s="8"/>
      <c r="L10" s="8"/>
      <c r="M10" s="8"/>
      <c r="N10" s="64"/>
      <c r="O10" s="8">
        <f>SUM(C10:N10)</f>
        <v>150026.77000000002</v>
      </c>
    </row>
    <row r="11" spans="1:15" ht="12" customHeight="1" x14ac:dyDescent="0.25">
      <c r="A11" s="6" t="s">
        <v>57</v>
      </c>
      <c r="B11" s="6"/>
      <c r="C11" s="9">
        <f t="shared" ref="C11:N11" si="0">(C9)+(C10)</f>
        <v>15900.77</v>
      </c>
      <c r="D11" s="9">
        <f t="shared" si="0"/>
        <v>16738</v>
      </c>
      <c r="E11" s="9">
        <f t="shared" si="0"/>
        <v>17596</v>
      </c>
      <c r="F11" s="9">
        <f t="shared" si="0"/>
        <v>47672.666666666664</v>
      </c>
      <c r="G11" s="9">
        <f t="shared" si="0"/>
        <v>36896.800000000003</v>
      </c>
      <c r="H11" s="9">
        <f t="shared" si="0"/>
        <v>15222.533333333335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  <c r="M11" s="9">
        <f t="shared" si="0"/>
        <v>0</v>
      </c>
      <c r="N11" s="9">
        <f t="shared" si="0"/>
        <v>0</v>
      </c>
      <c r="O11" s="18">
        <f>SUM(C11:N11)</f>
        <v>150026.77000000002</v>
      </c>
    </row>
    <row r="12" spans="1:15" ht="12" customHeight="1" x14ac:dyDescent="0.25">
      <c r="A12" s="6" t="s">
        <v>58</v>
      </c>
      <c r="B12" s="6"/>
      <c r="C12" s="9">
        <f t="shared" ref="C12:N12" si="1">+C8+C10</f>
        <v>15900.77</v>
      </c>
      <c r="D12" s="9">
        <f t="shared" si="1"/>
        <v>16738</v>
      </c>
      <c r="E12" s="9">
        <f t="shared" si="1"/>
        <v>17596</v>
      </c>
      <c r="F12" s="9">
        <f t="shared" si="1"/>
        <v>47672.666666666664</v>
      </c>
      <c r="G12" s="9">
        <f t="shared" si="1"/>
        <v>36896.800000000003</v>
      </c>
      <c r="H12" s="9">
        <f t="shared" si="1"/>
        <v>15222.533333333335</v>
      </c>
      <c r="I12" s="9">
        <f t="shared" si="1"/>
        <v>0</v>
      </c>
      <c r="J12" s="9">
        <f t="shared" si="1"/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20">
        <f>SUM(C12:N12)</f>
        <v>150026.77000000002</v>
      </c>
    </row>
    <row r="13" spans="1:15" ht="12" customHeight="1" x14ac:dyDescent="0.25">
      <c r="A13" s="6" t="s">
        <v>101</v>
      </c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O13" s="8"/>
    </row>
    <row r="14" spans="1:15" ht="12" customHeight="1" x14ac:dyDescent="0.25">
      <c r="A14" s="6" t="s">
        <v>102</v>
      </c>
      <c r="B14" s="6"/>
      <c r="C14" s="8">
        <f>+'[3]15% 9-30'!C14/0.15</f>
        <v>0</v>
      </c>
      <c r="D14" s="8">
        <f>+'[3]15% 9-30'!D14/0.15</f>
        <v>0</v>
      </c>
      <c r="E14" s="8">
        <f>+'[3]15% 9-30'!E14/0.15</f>
        <v>0</v>
      </c>
      <c r="F14" s="8">
        <f>+'[3]15% 9-30'!F14/0.15</f>
        <v>-1864.6666666666667</v>
      </c>
      <c r="G14" s="8">
        <f>+'[3]15% 9-30'!G14/0.15</f>
        <v>-3248.8</v>
      </c>
      <c r="H14" s="8">
        <f>+'[3]15% 9-30'!H14/0.15</f>
        <v>-3337.7333333333336</v>
      </c>
      <c r="I14" s="8"/>
      <c r="J14" s="8"/>
      <c r="K14" s="8"/>
      <c r="L14" s="8"/>
      <c r="M14" s="8"/>
      <c r="N14" s="8"/>
      <c r="O14" s="65">
        <f>SUM(C14:N14)</f>
        <v>-8451.2000000000007</v>
      </c>
    </row>
    <row r="15" spans="1:15" ht="12" customHeight="1" x14ac:dyDescent="0.25">
      <c r="A15" s="6" t="s">
        <v>103</v>
      </c>
      <c r="B15" s="6"/>
      <c r="C15" s="9">
        <f t="shared" ref="C15:N15" si="2">((C13)+(C14))</f>
        <v>0</v>
      </c>
      <c r="D15" s="9">
        <f t="shared" si="2"/>
        <v>0</v>
      </c>
      <c r="E15" s="9">
        <f t="shared" si="2"/>
        <v>0</v>
      </c>
      <c r="F15" s="9">
        <f t="shared" si="2"/>
        <v>-1864.6666666666667</v>
      </c>
      <c r="G15" s="9">
        <f t="shared" si="2"/>
        <v>-3248.8</v>
      </c>
      <c r="H15" s="9">
        <f t="shared" si="2"/>
        <v>-3337.7333333333336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20">
        <f>SUM(C15:N15)</f>
        <v>-8451.2000000000007</v>
      </c>
    </row>
    <row r="16" spans="1:15" ht="12" customHeight="1" x14ac:dyDescent="0.25">
      <c r="A16" s="6" t="s">
        <v>59</v>
      </c>
      <c r="B16" s="6"/>
      <c r="C16" s="9">
        <f t="shared" ref="C16:N16" si="3">(C12)+(C15)</f>
        <v>15900.77</v>
      </c>
      <c r="D16" s="9">
        <f t="shared" si="3"/>
        <v>16738</v>
      </c>
      <c r="E16" s="9">
        <f t="shared" si="3"/>
        <v>17596</v>
      </c>
      <c r="F16" s="9">
        <f t="shared" si="3"/>
        <v>45808</v>
      </c>
      <c r="G16" s="9">
        <f t="shared" si="3"/>
        <v>33648</v>
      </c>
      <c r="H16" s="9">
        <f t="shared" si="3"/>
        <v>11884.800000000001</v>
      </c>
      <c r="I16" s="9">
        <f t="shared" si="3"/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9">
        <f t="shared" si="3"/>
        <v>0</v>
      </c>
      <c r="N16" s="9">
        <f t="shared" si="3"/>
        <v>0</v>
      </c>
      <c r="O16" s="20">
        <f>SUM(C16:N16)</f>
        <v>141575.57</v>
      </c>
    </row>
    <row r="17" spans="1:15" ht="12" customHeight="1" x14ac:dyDescent="0.25">
      <c r="A17" s="6" t="s">
        <v>60</v>
      </c>
      <c r="B17" s="6"/>
      <c r="C17" s="9">
        <f t="shared" ref="C17:N17" si="4">(C16)-(0)</f>
        <v>15900.77</v>
      </c>
      <c r="D17" s="9">
        <f t="shared" si="4"/>
        <v>16738</v>
      </c>
      <c r="E17" s="9">
        <f t="shared" si="4"/>
        <v>17596</v>
      </c>
      <c r="F17" s="9">
        <f t="shared" si="4"/>
        <v>45808</v>
      </c>
      <c r="G17" s="9">
        <f t="shared" si="4"/>
        <v>33648</v>
      </c>
      <c r="H17" s="9">
        <f t="shared" si="4"/>
        <v>11884.800000000001</v>
      </c>
      <c r="I17" s="9">
        <f t="shared" si="4"/>
        <v>0</v>
      </c>
      <c r="J17" s="9">
        <f t="shared" si="4"/>
        <v>0</v>
      </c>
      <c r="K17" s="9">
        <f t="shared" si="4"/>
        <v>0</v>
      </c>
      <c r="L17" s="9">
        <f t="shared" si="4"/>
        <v>0</v>
      </c>
      <c r="M17" s="9">
        <f t="shared" si="4"/>
        <v>0</v>
      </c>
      <c r="N17" s="9">
        <f t="shared" si="4"/>
        <v>0</v>
      </c>
      <c r="O17" s="20">
        <f>SUM(C17:N17)</f>
        <v>141575.57</v>
      </c>
    </row>
    <row r="18" spans="1:15" ht="12" customHeight="1" x14ac:dyDescent="0.25">
      <c r="A18" s="6" t="s">
        <v>85</v>
      </c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O18" s="7"/>
    </row>
    <row r="19" spans="1:15" ht="12" customHeight="1" x14ac:dyDescent="0.25">
      <c r="A19" s="6" t="s">
        <v>19</v>
      </c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O19" s="8"/>
    </row>
    <row r="20" spans="1:15" ht="12" customHeight="1" x14ac:dyDescent="0.25">
      <c r="A20" s="6" t="s">
        <v>104</v>
      </c>
      <c r="B20" s="6"/>
      <c r="C20" s="7">
        <f>+'[3]15% 9-30'!C20/0.15</f>
        <v>18.133333333333336</v>
      </c>
      <c r="D20" s="7">
        <f>+'[3]15% 9-30'!D20/0.15</f>
        <v>36.533333333333339</v>
      </c>
      <c r="E20" s="7">
        <f>+'[3]15% 9-30'!E20/0.15</f>
        <v>14.666666666666668</v>
      </c>
      <c r="F20" s="7">
        <f>+'[3]15% 9-30'!F20/0.15</f>
        <v>18.333333333333336</v>
      </c>
      <c r="G20" s="7">
        <f>+'[3]15% 9-30'!G20/0.15</f>
        <v>11</v>
      </c>
      <c r="H20" s="7">
        <f>+'[3]15% 9-30'!H20/0.15</f>
        <v>0</v>
      </c>
      <c r="I20" s="7"/>
      <c r="J20" s="7"/>
      <c r="K20" s="7"/>
      <c r="L20" s="7"/>
      <c r="M20" s="7"/>
      <c r="O20" s="8">
        <f t="shared" ref="O20:O24" si="5">SUM(C20:N20)</f>
        <v>98.666666666666686</v>
      </c>
    </row>
    <row r="21" spans="1:15" ht="12" customHeight="1" x14ac:dyDescent="0.25">
      <c r="A21" s="6" t="s">
        <v>20</v>
      </c>
      <c r="B21" s="6"/>
      <c r="C21" s="7">
        <f>+'[3]15% 9-30'!C21/0.15</f>
        <v>479.4666666666667</v>
      </c>
      <c r="D21" s="7">
        <f>+'[3]15% 9-30'!D21/0.15</f>
        <v>980.53333333333342</v>
      </c>
      <c r="E21" s="7">
        <f>+'[3]15% 9-30'!E21/0.15</f>
        <v>1005.8666666666667</v>
      </c>
      <c r="F21" s="7">
        <f>+'[3]15% 9-30'!F21/0.15</f>
        <v>871.93333333333328</v>
      </c>
      <c r="G21" s="7">
        <f>+'[3]15% 9-30'!G21/0.15</f>
        <v>1233.4000000000001</v>
      </c>
      <c r="H21" s="7">
        <f>+'[3]15% 9-30'!H21/0.15</f>
        <v>1287.1333333333334</v>
      </c>
      <c r="I21" s="8"/>
      <c r="J21" s="7"/>
      <c r="K21" s="7"/>
      <c r="L21" s="7"/>
      <c r="M21" s="7"/>
      <c r="N21" s="7"/>
      <c r="O21" s="8">
        <f t="shared" si="5"/>
        <v>5858.3333333333339</v>
      </c>
    </row>
    <row r="22" spans="1:15" ht="12" customHeight="1" x14ac:dyDescent="0.25">
      <c r="A22" s="6" t="s">
        <v>21</v>
      </c>
      <c r="B22" s="6"/>
      <c r="C22" s="7">
        <f>+'[3]15% 9-30'!C22/0.15</f>
        <v>1320</v>
      </c>
      <c r="D22" s="7">
        <f>+'[3]15% 9-30'!D22/0.15</f>
        <v>2487.2666666666664</v>
      </c>
      <c r="E22" s="7">
        <f>+'[3]15% 9-30'!E22/0.15</f>
        <v>1440</v>
      </c>
      <c r="F22" s="7">
        <f>+'[3]15% 9-30'!F22/0.15</f>
        <v>11537.4</v>
      </c>
      <c r="G22" s="7">
        <f>+'[3]15% 9-30'!G22/0.15</f>
        <v>2045.0666666666666</v>
      </c>
      <c r="H22" s="7">
        <f>+'[3]15% 9-30'!H22/0.15</f>
        <v>1860</v>
      </c>
      <c r="I22" s="8"/>
      <c r="J22" s="8"/>
      <c r="K22" s="8"/>
      <c r="L22" s="8"/>
      <c r="M22" s="8"/>
      <c r="N22" s="8"/>
      <c r="O22" s="8">
        <f t="shared" si="5"/>
        <v>20689.73333333333</v>
      </c>
    </row>
    <row r="23" spans="1:15" ht="12" customHeight="1" x14ac:dyDescent="0.25">
      <c r="A23" s="6" t="s">
        <v>105</v>
      </c>
      <c r="B23" s="6"/>
      <c r="C23" s="7">
        <f>+'[3]15% 9-30'!C23/0.15</f>
        <v>31.733333333333334</v>
      </c>
      <c r="D23" s="7">
        <f>+'[3]15% 9-30'!D23/0.15</f>
        <v>31.933333333333334</v>
      </c>
      <c r="E23" s="7">
        <f>+'[3]15% 9-30'!E23/0.15</f>
        <v>36.866666666666667</v>
      </c>
      <c r="F23" s="7">
        <f>+'[3]15% 9-30'!F23/0.15</f>
        <v>102.66666666666667</v>
      </c>
      <c r="G23" s="7">
        <f>+'[3]15% 9-30'!G23/0.15</f>
        <v>36.866666666666667</v>
      </c>
      <c r="H23" s="7">
        <f>+'[3]15% 9-30'!H23/0.15</f>
        <v>31.933333333333334</v>
      </c>
      <c r="I23" s="8"/>
      <c r="J23" s="8"/>
      <c r="K23" s="8"/>
      <c r="L23" s="8"/>
      <c r="M23" s="8"/>
      <c r="N23" s="8"/>
      <c r="O23" s="8">
        <f t="shared" si="5"/>
        <v>272</v>
      </c>
    </row>
    <row r="24" spans="1:15" ht="12" customHeight="1" x14ac:dyDescent="0.25">
      <c r="A24" s="6" t="s">
        <v>22</v>
      </c>
      <c r="B24" s="6"/>
      <c r="C24" s="7">
        <f>+'[3]15% 9-30'!C24/0.15</f>
        <v>2846</v>
      </c>
      <c r="D24" s="7">
        <f>+'[3]15% 9-30'!D24/0.15</f>
        <v>6365.5333333333338</v>
      </c>
      <c r="E24" s="7">
        <f>+'[3]15% 9-30'!E24/0.15</f>
        <v>4490.8666666666668</v>
      </c>
      <c r="F24" s="7">
        <f>+'[3]15% 9-30'!F24/0.15</f>
        <v>1212.8</v>
      </c>
      <c r="G24" s="7">
        <f>+'[3]15% 9-30'!G24/0.15</f>
        <v>1067.4666666666667</v>
      </c>
      <c r="H24" s="7">
        <f>+'[3]15% 9-30'!H24/0.15</f>
        <v>303.53333333333336</v>
      </c>
      <c r="I24" s="8"/>
      <c r="J24" s="8"/>
      <c r="K24" s="8"/>
      <c r="L24" s="8"/>
      <c r="M24" s="8"/>
      <c r="N24" s="8"/>
      <c r="O24" s="8">
        <f t="shared" si="5"/>
        <v>16286.199999999999</v>
      </c>
    </row>
    <row r="25" spans="1:15" ht="12" customHeight="1" x14ac:dyDescent="0.25">
      <c r="A25" s="6" t="s">
        <v>24</v>
      </c>
      <c r="B25" s="6"/>
      <c r="C25" s="7">
        <f>+'[3]15% 9-30'!C25/0.15</f>
        <v>0</v>
      </c>
      <c r="D25" s="7">
        <f>+'[3]15% 9-30'!D25/0.15</f>
        <v>0</v>
      </c>
      <c r="E25" s="7">
        <f>+'[3]15% 9-30'!E25/0.15</f>
        <v>0</v>
      </c>
      <c r="F25" s="7">
        <f>+'[3]15% 9-30'!F25/0.15</f>
        <v>0</v>
      </c>
      <c r="G25" s="7">
        <f>+'[3]15% 9-30'!G25/0.15</f>
        <v>0</v>
      </c>
      <c r="H25" s="7">
        <f>+'[3]15% 9-30'!H25/0.15</f>
        <v>0</v>
      </c>
      <c r="I25" s="7"/>
      <c r="J25" s="7"/>
      <c r="K25" s="7"/>
      <c r="L25" s="7"/>
      <c r="M25" s="7"/>
      <c r="O25" s="8"/>
    </row>
    <row r="26" spans="1:15" ht="12" customHeight="1" x14ac:dyDescent="0.25">
      <c r="A26" s="6" t="s">
        <v>124</v>
      </c>
      <c r="B26" s="6"/>
      <c r="C26" s="7">
        <f>+'[3]15% 9-30'!C26/0.15</f>
        <v>0</v>
      </c>
      <c r="D26" s="7">
        <f>+'[3]15% 9-30'!D26/0.15</f>
        <v>0</v>
      </c>
      <c r="E26" s="7">
        <f>+'[3]15% 9-30'!E26/0.15</f>
        <v>0</v>
      </c>
      <c r="F26" s="7">
        <f>+'[3]15% 9-30'!F26/0.15</f>
        <v>0</v>
      </c>
      <c r="G26" s="7">
        <f>+'[3]15% 9-30'!G26/0.15</f>
        <v>0</v>
      </c>
      <c r="H26" s="7">
        <f>+'[3]15% 9-30'!H26/0.15</f>
        <v>0</v>
      </c>
      <c r="I26" s="7"/>
      <c r="J26" s="7"/>
      <c r="K26" s="7"/>
      <c r="L26" s="7"/>
      <c r="M26" s="7"/>
      <c r="O26" s="8">
        <f>SUM(C26:N26)</f>
        <v>0</v>
      </c>
    </row>
    <row r="27" spans="1:15" ht="12" customHeight="1" x14ac:dyDescent="0.25">
      <c r="A27" s="6" t="s">
        <v>25</v>
      </c>
      <c r="B27" s="6"/>
      <c r="C27" s="7">
        <f>+'[3]15% 9-30'!C27/0.15</f>
        <v>0</v>
      </c>
      <c r="D27" s="7">
        <f>+'[3]15% 9-30'!D27/0.15</f>
        <v>0</v>
      </c>
      <c r="E27" s="7">
        <f>+'[3]15% 9-30'!E27/0.15</f>
        <v>0</v>
      </c>
      <c r="F27" s="7">
        <f>+'[3]15% 9-30'!F27/0.15</f>
        <v>0</v>
      </c>
      <c r="G27" s="7">
        <f>+'[3]15% 9-30'!G27/0.15</f>
        <v>0</v>
      </c>
      <c r="H27" s="7">
        <f>+'[3]15% 9-30'!H27/0.15</f>
        <v>0</v>
      </c>
      <c r="I27" s="8"/>
      <c r="J27" s="8"/>
      <c r="K27" s="8"/>
      <c r="L27" s="8"/>
      <c r="M27" s="8"/>
      <c r="O27" s="8">
        <f>SUM(C27:N27)</f>
        <v>0</v>
      </c>
    </row>
    <row r="28" spans="1:15" ht="12" customHeight="1" x14ac:dyDescent="0.25">
      <c r="A28" s="6" t="s">
        <v>26</v>
      </c>
      <c r="B28" s="6"/>
      <c r="C28" s="9">
        <f>+C26+C27</f>
        <v>0</v>
      </c>
      <c r="D28" s="9">
        <f t="shared" ref="D28:N28" si="6">+D26+D27</f>
        <v>0</v>
      </c>
      <c r="E28" s="9">
        <f t="shared" si="6"/>
        <v>0</v>
      </c>
      <c r="F28" s="9">
        <f t="shared" si="6"/>
        <v>0</v>
      </c>
      <c r="G28" s="9">
        <f t="shared" si="6"/>
        <v>0</v>
      </c>
      <c r="H28" s="9">
        <f t="shared" si="6"/>
        <v>0</v>
      </c>
      <c r="I28" s="9">
        <f t="shared" si="6"/>
        <v>0</v>
      </c>
      <c r="J28" s="9">
        <f t="shared" si="6"/>
        <v>0</v>
      </c>
      <c r="K28" s="9">
        <f t="shared" si="6"/>
        <v>0</v>
      </c>
      <c r="L28" s="9">
        <f t="shared" si="6"/>
        <v>0</v>
      </c>
      <c r="M28" s="9">
        <f t="shared" si="6"/>
        <v>0</v>
      </c>
      <c r="N28" s="9">
        <f t="shared" si="6"/>
        <v>0</v>
      </c>
      <c r="O28" s="20">
        <f>SUM(C28:N28)</f>
        <v>0</v>
      </c>
    </row>
    <row r="29" spans="1:15" ht="12" customHeight="1" x14ac:dyDescent="0.25">
      <c r="A29" s="6" t="s">
        <v>48</v>
      </c>
      <c r="B29" s="6"/>
      <c r="C29" s="7">
        <f>+'[3]15% 9-30'!C29/0.15</f>
        <v>0</v>
      </c>
      <c r="D29" s="7">
        <f>+'[3]15% 9-30'!D29/0.15</f>
        <v>0</v>
      </c>
      <c r="E29" s="7">
        <f>+'[3]15% 9-30'!E29/0.15</f>
        <v>0</v>
      </c>
      <c r="F29" s="7">
        <f>+'[3]15% 9-30'!F29/0.15</f>
        <v>0</v>
      </c>
      <c r="G29" s="7">
        <f>+'[3]15% 9-30'!G29/0.15</f>
        <v>1907.6666666666665</v>
      </c>
      <c r="H29" s="7">
        <f>+'[3]15% 9-30'!H29/0.15</f>
        <v>0</v>
      </c>
      <c r="I29" s="19"/>
      <c r="J29" s="19"/>
      <c r="K29" s="19"/>
      <c r="L29" s="19"/>
      <c r="M29" s="19"/>
      <c r="O29" s="8">
        <f t="shared" ref="O29:O42" si="7">SUM(C29:N29)</f>
        <v>1907.6666666666665</v>
      </c>
    </row>
    <row r="30" spans="1:15" ht="12" customHeight="1" x14ac:dyDescent="0.25">
      <c r="A30" s="6" t="s">
        <v>27</v>
      </c>
      <c r="B30" s="6"/>
      <c r="C30" s="7">
        <f>+'[3]15% 9-30'!C30/0.15</f>
        <v>0</v>
      </c>
      <c r="D30" s="7">
        <f>+'[3]15% 9-30'!D30/0.15</f>
        <v>109.00000000000001</v>
      </c>
      <c r="E30" s="7">
        <f>+'[3]15% 9-30'!E30/0.15</f>
        <v>114.53333333333333</v>
      </c>
      <c r="F30" s="7">
        <f>+'[3]15% 9-30'!F30/0.15</f>
        <v>0</v>
      </c>
      <c r="G30" s="7">
        <f>+'[3]15% 9-30'!G30/0.15</f>
        <v>292.86666666666667</v>
      </c>
      <c r="H30" s="7">
        <f>+'[3]15% 9-30'!H30/0.15</f>
        <v>0</v>
      </c>
      <c r="I30" s="7"/>
      <c r="J30" s="7"/>
      <c r="K30" s="7"/>
      <c r="L30" s="7"/>
      <c r="M30" s="7"/>
      <c r="O30" s="8">
        <f t="shared" si="7"/>
        <v>516.40000000000009</v>
      </c>
    </row>
    <row r="31" spans="1:15" ht="12" customHeight="1" x14ac:dyDescent="0.25">
      <c r="A31" s="6" t="s">
        <v>62</v>
      </c>
      <c r="B31" s="6"/>
      <c r="C31" s="7">
        <f>+'[3]15% 9-30'!C31/0.15</f>
        <v>0</v>
      </c>
      <c r="D31" s="7">
        <f>+'[3]15% 9-30'!D31/0.15</f>
        <v>0</v>
      </c>
      <c r="E31" s="7">
        <f>+'[3]15% 9-30'!E31/0.15</f>
        <v>0</v>
      </c>
      <c r="F31" s="7">
        <f>+'[3]15% 9-30'!F31/0.15</f>
        <v>0</v>
      </c>
      <c r="G31" s="7">
        <f>+'[3]15% 9-30'!G31/0.15</f>
        <v>0</v>
      </c>
      <c r="H31" s="7">
        <f>+'[3]15% 9-30'!H31/0.15</f>
        <v>0</v>
      </c>
      <c r="I31" s="7"/>
      <c r="J31" s="7"/>
      <c r="K31" s="7"/>
      <c r="L31" s="7"/>
      <c r="M31" s="7"/>
      <c r="O31" s="8">
        <f t="shared" si="7"/>
        <v>0</v>
      </c>
    </row>
    <row r="32" spans="1:15" ht="12" customHeight="1" x14ac:dyDescent="0.25">
      <c r="A32" s="6" t="s">
        <v>29</v>
      </c>
      <c r="B32" s="6"/>
      <c r="C32" s="7">
        <f>+'[3]15% 9-30'!C32/0.15</f>
        <v>0</v>
      </c>
      <c r="D32" s="7">
        <f>+'[3]15% 9-30'!D32/0.15</f>
        <v>1451.5333333333333</v>
      </c>
      <c r="E32" s="7">
        <f>+'[3]15% 9-30'!E32/0.15</f>
        <v>6797.2666666666673</v>
      </c>
      <c r="F32" s="7">
        <f>+'[3]15% 9-30'!F32/0.15</f>
        <v>1662.8</v>
      </c>
      <c r="G32" s="7">
        <f>+'[3]15% 9-30'!G32/0.15</f>
        <v>10512.2</v>
      </c>
      <c r="H32" s="7">
        <f>+'[3]15% 9-30'!H32/0.15</f>
        <v>3087.4666666666667</v>
      </c>
      <c r="I32" s="7"/>
      <c r="J32" s="7"/>
      <c r="K32" s="7"/>
      <c r="L32" s="7"/>
      <c r="M32" s="7"/>
      <c r="N32" s="64"/>
      <c r="O32" s="8">
        <f t="shared" si="7"/>
        <v>23511.26666666667</v>
      </c>
    </row>
    <row r="33" spans="1:15" ht="12" customHeight="1" x14ac:dyDescent="0.25">
      <c r="A33" s="6" t="s">
        <v>30</v>
      </c>
      <c r="B33" s="6"/>
      <c r="C33" s="7">
        <f>+'[3]15% 9-30'!C33/0.15</f>
        <v>0</v>
      </c>
      <c r="D33" s="7">
        <f>+'[3]15% 9-30'!D33/0.15</f>
        <v>600</v>
      </c>
      <c r="E33" s="7">
        <f>+'[3]15% 9-30'!E33/0.15</f>
        <v>0</v>
      </c>
      <c r="F33" s="7">
        <f>+'[3]15% 9-30'!F33/0.15</f>
        <v>1140</v>
      </c>
      <c r="G33" s="7">
        <f>+'[3]15% 9-30'!G33/0.15</f>
        <v>0</v>
      </c>
      <c r="H33" s="7">
        <f>+'[3]15% 9-30'!H33/0.15</f>
        <v>0</v>
      </c>
      <c r="I33" s="7"/>
      <c r="J33" s="7"/>
      <c r="K33" s="7"/>
      <c r="L33" s="7"/>
      <c r="M33" s="7"/>
      <c r="O33" s="8">
        <f t="shared" si="7"/>
        <v>1740</v>
      </c>
    </row>
    <row r="34" spans="1:15" ht="12" customHeight="1" x14ac:dyDescent="0.25">
      <c r="A34" s="6" t="s">
        <v>42</v>
      </c>
      <c r="B34" s="6"/>
      <c r="C34" s="7">
        <f>+'[3]15% 9-30'!C34/0.15</f>
        <v>415.93333333333334</v>
      </c>
      <c r="D34" s="7">
        <f>+'[3]15% 9-30'!D34/0.15</f>
        <v>0</v>
      </c>
      <c r="E34" s="7">
        <f>+'[3]15% 9-30'!E34/0.15</f>
        <v>675.66666666666663</v>
      </c>
      <c r="F34" s="7">
        <f>+'[3]15% 9-30'!F34/0.15</f>
        <v>572.06666666666672</v>
      </c>
      <c r="G34" s="7">
        <f>+'[3]15% 9-30'!G34/0.15</f>
        <v>648.86666666666667</v>
      </c>
      <c r="H34" s="7">
        <f>+'[3]15% 9-30'!H34/0.15</f>
        <v>379.4666666666667</v>
      </c>
      <c r="I34" s="7"/>
      <c r="J34" s="7"/>
      <c r="K34" s="7"/>
      <c r="L34" s="7"/>
      <c r="M34" s="7"/>
      <c r="N34" s="7"/>
      <c r="O34" s="8">
        <f t="shared" si="7"/>
        <v>2692</v>
      </c>
    </row>
    <row r="35" spans="1:15" ht="12" customHeight="1" x14ac:dyDescent="0.25">
      <c r="A35" s="6" t="s">
        <v>89</v>
      </c>
      <c r="B35" s="6"/>
      <c r="C35" s="7">
        <f>+'[3]15% 9-30'!C35/0.15</f>
        <v>757.5333333333333</v>
      </c>
      <c r="D35" s="7">
        <f>+'[3]15% 9-30'!D35/0.15</f>
        <v>0</v>
      </c>
      <c r="E35" s="7">
        <f>+'[3]15% 9-30'!E35/0.15</f>
        <v>0</v>
      </c>
      <c r="F35" s="7">
        <f>+'[3]15% 9-30'!F35/0.15</f>
        <v>0</v>
      </c>
      <c r="G35" s="7">
        <f>+'[3]15% 9-30'!G35/0.15</f>
        <v>742.4666666666667</v>
      </c>
      <c r="H35" s="7">
        <f>+'[3]15% 9-30'!H35/0.15</f>
        <v>0</v>
      </c>
      <c r="I35" s="7"/>
      <c r="J35" s="7"/>
      <c r="K35" s="7"/>
      <c r="L35" s="7"/>
      <c r="M35" s="7"/>
      <c r="N35" s="7"/>
      <c r="O35" s="8">
        <f t="shared" si="7"/>
        <v>1500</v>
      </c>
    </row>
    <row r="36" spans="1:15" ht="12" customHeight="1" x14ac:dyDescent="0.25">
      <c r="A36" s="6" t="s">
        <v>64</v>
      </c>
      <c r="B36" s="6"/>
      <c r="C36" s="7">
        <f>+'[3]15% 9-30'!C36/0.15</f>
        <v>1606.7333333333333</v>
      </c>
      <c r="D36" s="7">
        <f>+'[3]15% 9-30'!D36/0.15</f>
        <v>0</v>
      </c>
      <c r="E36" s="7">
        <f>+'[3]15% 9-30'!E36/0.15</f>
        <v>-40.4</v>
      </c>
      <c r="F36" s="7">
        <f>+'[3]15% 9-30'!F36/0.15</f>
        <v>512.06666666666672</v>
      </c>
      <c r="G36" s="7">
        <f>+'[3]15% 9-30'!G36/0.15</f>
        <v>612.73333333333335</v>
      </c>
      <c r="H36" s="7">
        <f>+'[3]15% 9-30'!H36/0.15</f>
        <v>0</v>
      </c>
      <c r="I36" s="7"/>
      <c r="J36" s="7"/>
      <c r="K36" s="7"/>
      <c r="L36" s="7"/>
      <c r="M36" s="7"/>
      <c r="O36" s="8">
        <f t="shared" si="7"/>
        <v>2691.1333333333332</v>
      </c>
    </row>
    <row r="37" spans="1:15" ht="12" customHeight="1" x14ac:dyDescent="0.25">
      <c r="A37" s="6" t="s">
        <v>32</v>
      </c>
      <c r="B37" s="6"/>
      <c r="C37" s="7">
        <f>+'[3]15% 9-30'!C37/0.15</f>
        <v>690</v>
      </c>
      <c r="D37" s="7">
        <f>+'[3]15% 9-30'!D37/0.15</f>
        <v>0</v>
      </c>
      <c r="E37" s="7">
        <f>+'[3]15% 9-30'!E37/0.15</f>
        <v>0</v>
      </c>
      <c r="F37" s="7">
        <f>+'[3]15% 9-30'!F37/0.15</f>
        <v>0</v>
      </c>
      <c r="G37" s="7">
        <f>+'[3]15% 9-30'!G37/0.15</f>
        <v>0</v>
      </c>
      <c r="H37" s="7">
        <f>+'[3]15% 9-30'!H37/0.15</f>
        <v>0</v>
      </c>
      <c r="I37" s="7"/>
      <c r="J37" s="7"/>
      <c r="K37" s="7"/>
      <c r="L37" s="7"/>
      <c r="M37" s="7"/>
      <c r="O37" s="8">
        <f t="shared" si="7"/>
        <v>690</v>
      </c>
    </row>
    <row r="38" spans="1:15" ht="12" customHeight="1" x14ac:dyDescent="0.25">
      <c r="A38" s="6" t="s">
        <v>33</v>
      </c>
      <c r="B38" s="6"/>
      <c r="C38" s="7">
        <f>+'[3]15% 9-30'!C38/0.15</f>
        <v>825</v>
      </c>
      <c r="D38" s="7">
        <f>+'[3]15% 9-30'!D38/0.15</f>
        <v>1200</v>
      </c>
      <c r="E38" s="7">
        <f>+'[3]15% 9-30'!E38/0.15</f>
        <v>600</v>
      </c>
      <c r="F38" s="7">
        <f>+'[3]15% 9-30'!F38/0.15</f>
        <v>1200</v>
      </c>
      <c r="G38" s="7">
        <f>+'[3]15% 9-30'!G38/0.15</f>
        <v>1275</v>
      </c>
      <c r="H38" s="7">
        <f>+'[3]15% 9-30'!H38/0.15</f>
        <v>881.00000000000011</v>
      </c>
      <c r="I38" s="8"/>
      <c r="J38" s="8"/>
      <c r="K38" s="8"/>
      <c r="L38" s="8"/>
      <c r="M38" s="8"/>
      <c r="N38" s="8"/>
      <c r="O38" s="8">
        <f t="shared" si="7"/>
        <v>5981</v>
      </c>
    </row>
    <row r="39" spans="1:15" ht="12" customHeight="1" x14ac:dyDescent="0.25">
      <c r="A39" s="6" t="s">
        <v>65</v>
      </c>
      <c r="B39" s="6"/>
      <c r="C39" s="7">
        <f>+'[3]15% 9-30'!C39/0.15</f>
        <v>0</v>
      </c>
      <c r="D39" s="7">
        <f>+'[3]15% 9-30'!D39/0.15</f>
        <v>0</v>
      </c>
      <c r="E39" s="7">
        <f>+'[3]15% 9-30'!E39/0.15</f>
        <v>0</v>
      </c>
      <c r="F39" s="7">
        <f>+'[3]15% 9-30'!F39/0.15</f>
        <v>0</v>
      </c>
      <c r="G39" s="7">
        <f>+'[3]15% 9-30'!G39/0.15</f>
        <v>3737.5333333333333</v>
      </c>
      <c r="H39" s="7">
        <f>+'[3]15% 9-30'!H39/0.15</f>
        <v>0</v>
      </c>
      <c r="I39" s="8"/>
      <c r="J39" s="8"/>
      <c r="K39" s="8"/>
      <c r="L39" s="8"/>
      <c r="M39" s="8"/>
      <c r="N39" s="8"/>
      <c r="O39" s="65">
        <f t="shared" si="7"/>
        <v>3737.5333333333333</v>
      </c>
    </row>
    <row r="40" spans="1:15" ht="12" customHeight="1" x14ac:dyDescent="0.25">
      <c r="A40" s="6" t="s">
        <v>34</v>
      </c>
      <c r="B40" s="6"/>
      <c r="C40" s="9">
        <f>+C20+C21+C22+C23+C24+C28+C29+C30+C31+C32+C33+C34+C35+C36+C37+C38+C39</f>
        <v>8990.5333333333328</v>
      </c>
      <c r="D40" s="9">
        <f t="shared" ref="D40:N40" si="8">+D20+D21+D22+D23+D24+D28+D29+D30+D31+D32+D33+D34+D35+D36+D37+D38+D39</f>
        <v>13262.333333333332</v>
      </c>
      <c r="E40" s="9">
        <f t="shared" si="8"/>
        <v>15135.333333333334</v>
      </c>
      <c r="F40" s="9">
        <f t="shared" si="8"/>
        <v>18830.066666666662</v>
      </c>
      <c r="G40" s="9">
        <f t="shared" si="8"/>
        <v>24123.133333333331</v>
      </c>
      <c r="H40" s="9">
        <f t="shared" si="8"/>
        <v>7830.5333333333328</v>
      </c>
      <c r="I40" s="9">
        <f t="shared" si="8"/>
        <v>0</v>
      </c>
      <c r="J40" s="9">
        <f t="shared" si="8"/>
        <v>0</v>
      </c>
      <c r="K40" s="9">
        <f t="shared" si="8"/>
        <v>0</v>
      </c>
      <c r="L40" s="9">
        <f t="shared" si="8"/>
        <v>0</v>
      </c>
      <c r="M40" s="9">
        <f t="shared" si="8"/>
        <v>0</v>
      </c>
      <c r="N40" s="9">
        <f t="shared" si="8"/>
        <v>0</v>
      </c>
      <c r="O40" s="20">
        <f t="shared" si="7"/>
        <v>88171.93333333332</v>
      </c>
    </row>
    <row r="41" spans="1:15" ht="12" customHeight="1" x14ac:dyDescent="0.25">
      <c r="A41" s="6" t="s">
        <v>35</v>
      </c>
      <c r="B41" s="6"/>
      <c r="C41" s="9">
        <f t="shared" ref="C41:N41" si="9">C40</f>
        <v>8990.5333333333328</v>
      </c>
      <c r="D41" s="9">
        <f t="shared" si="9"/>
        <v>13262.333333333332</v>
      </c>
      <c r="E41" s="9">
        <f t="shared" si="9"/>
        <v>15135.333333333334</v>
      </c>
      <c r="F41" s="9">
        <f t="shared" si="9"/>
        <v>18830.066666666662</v>
      </c>
      <c r="G41" s="9">
        <f t="shared" si="9"/>
        <v>24123.133333333331</v>
      </c>
      <c r="H41" s="9">
        <f t="shared" si="9"/>
        <v>7830.5333333333328</v>
      </c>
      <c r="I41" s="9">
        <f t="shared" si="9"/>
        <v>0</v>
      </c>
      <c r="J41" s="9">
        <f t="shared" si="9"/>
        <v>0</v>
      </c>
      <c r="K41" s="9">
        <f t="shared" si="9"/>
        <v>0</v>
      </c>
      <c r="L41" s="9">
        <f t="shared" si="9"/>
        <v>0</v>
      </c>
      <c r="M41" s="9">
        <f t="shared" si="9"/>
        <v>0</v>
      </c>
      <c r="N41" s="9">
        <f t="shared" si="9"/>
        <v>0</v>
      </c>
      <c r="O41" s="20">
        <f t="shared" si="7"/>
        <v>88171.93333333332</v>
      </c>
    </row>
    <row r="42" spans="1:15" ht="12" customHeight="1" x14ac:dyDescent="0.25">
      <c r="A42" s="6" t="s">
        <v>66</v>
      </c>
      <c r="B42" s="6"/>
      <c r="C42" s="9">
        <f t="shared" ref="C42:N42" si="10">(((C17)-(C41))+(0))-(0)</f>
        <v>6910.2366666666676</v>
      </c>
      <c r="D42" s="9">
        <f t="shared" si="10"/>
        <v>3475.6666666666679</v>
      </c>
      <c r="E42" s="9">
        <f t="shared" si="10"/>
        <v>2460.6666666666661</v>
      </c>
      <c r="F42" s="9">
        <f t="shared" si="10"/>
        <v>26977.933333333338</v>
      </c>
      <c r="G42" s="9">
        <f t="shared" si="10"/>
        <v>9524.8666666666686</v>
      </c>
      <c r="H42" s="9">
        <f t="shared" si="10"/>
        <v>4054.2666666666682</v>
      </c>
      <c r="I42" s="9">
        <f t="shared" si="10"/>
        <v>0</v>
      </c>
      <c r="J42" s="9">
        <f t="shared" si="10"/>
        <v>0</v>
      </c>
      <c r="K42" s="9">
        <f t="shared" si="10"/>
        <v>0</v>
      </c>
      <c r="L42" s="9">
        <f t="shared" si="10"/>
        <v>0</v>
      </c>
      <c r="M42" s="9">
        <f t="shared" si="10"/>
        <v>0</v>
      </c>
      <c r="N42" s="9">
        <f t="shared" si="10"/>
        <v>0</v>
      </c>
      <c r="O42" s="20">
        <f t="shared" si="7"/>
        <v>53403.63666666668</v>
      </c>
    </row>
    <row r="43" spans="1:15" ht="12" customHeight="1" x14ac:dyDescent="0.25">
      <c r="A43" s="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O43" s="7"/>
    </row>
    <row r="44" spans="1:15" ht="12" customHeight="1" x14ac:dyDescent="0.25">
      <c r="A44" s="32" t="s">
        <v>107</v>
      </c>
      <c r="B44" s="32"/>
      <c r="C44" s="33"/>
      <c r="D44" s="33"/>
      <c r="E44" s="33"/>
      <c r="F44" s="33"/>
      <c r="G44" s="34"/>
      <c r="H44" s="34"/>
      <c r="I44" s="34"/>
      <c r="J44" s="34"/>
      <c r="K44" s="34"/>
      <c r="L44" s="34"/>
      <c r="M44" s="34"/>
      <c r="N44" s="34"/>
      <c r="O44" s="35"/>
    </row>
    <row r="45" spans="1:15" ht="12" customHeight="1" x14ac:dyDescent="0.25">
      <c r="A45" s="36" t="s">
        <v>108</v>
      </c>
      <c r="B45" s="37" t="s">
        <v>109</v>
      </c>
      <c r="C45" s="38">
        <f t="shared" ref="C45:H45" si="11">+C10/C49</f>
        <v>328.91472068545869</v>
      </c>
      <c r="D45" s="38">
        <f t="shared" si="11"/>
        <v>263.53215001001399</v>
      </c>
      <c r="E45" s="38">
        <f t="shared" si="11"/>
        <v>257.22012923620468</v>
      </c>
      <c r="F45" s="38">
        <f t="shared" si="11"/>
        <v>643.1555703335049</v>
      </c>
      <c r="G45" s="38">
        <f t="shared" si="11"/>
        <v>499.97624528667768</v>
      </c>
      <c r="H45" s="38">
        <f t="shared" si="11"/>
        <v>258.24637083794164</v>
      </c>
      <c r="I45" s="38"/>
      <c r="J45" s="38"/>
      <c r="K45" s="38"/>
      <c r="L45" s="38"/>
      <c r="M45" s="38"/>
      <c r="N45" s="38"/>
      <c r="O45" s="39">
        <f>SUM(C45:N45)</f>
        <v>2251.0451863898015</v>
      </c>
    </row>
    <row r="46" spans="1:15" ht="12" customHeight="1" x14ac:dyDescent="0.25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34"/>
      <c r="O46" s="35"/>
    </row>
    <row r="47" spans="1:15" ht="12" customHeight="1" x14ac:dyDescent="0.25">
      <c r="A47" s="36" t="s">
        <v>110</v>
      </c>
      <c r="B47" s="37" t="s">
        <v>111</v>
      </c>
      <c r="C47" s="38">
        <v>12.7</v>
      </c>
      <c r="D47" s="38">
        <v>14.2</v>
      </c>
      <c r="E47" s="38">
        <v>15.3</v>
      </c>
      <c r="F47" s="38">
        <v>15</v>
      </c>
      <c r="G47" s="38">
        <v>15.7</v>
      </c>
      <c r="H47" s="38">
        <v>15.3</v>
      </c>
      <c r="I47" s="38"/>
      <c r="J47" s="38"/>
      <c r="K47" s="38"/>
      <c r="L47" s="38"/>
      <c r="M47" s="38"/>
      <c r="N47" s="43"/>
      <c r="O47" s="39">
        <f>SUM(C47:N47)/6</f>
        <v>14.700000000000001</v>
      </c>
    </row>
    <row r="48" spans="1:15" ht="12" customHeight="1" x14ac:dyDescent="0.25">
      <c r="A48" s="40"/>
      <c r="B48" s="32"/>
      <c r="C48" s="44"/>
      <c r="D48" s="33"/>
      <c r="E48" s="33"/>
      <c r="F48" s="33"/>
      <c r="G48" s="34"/>
      <c r="H48" s="34"/>
      <c r="I48" s="34"/>
      <c r="J48" s="34"/>
      <c r="K48" s="34"/>
      <c r="L48" s="34"/>
      <c r="M48" s="34"/>
      <c r="N48" s="34"/>
      <c r="O48" s="45"/>
    </row>
    <row r="49" spans="1:15" ht="12" customHeight="1" x14ac:dyDescent="0.25">
      <c r="A49" s="36" t="s">
        <v>108</v>
      </c>
      <c r="B49" s="37" t="s">
        <v>112</v>
      </c>
      <c r="C49" s="42">
        <f>+'[3]15% 9-30'!C49</f>
        <v>48.343138813801872</v>
      </c>
      <c r="D49" s="42">
        <f>+'[3]15% 9-30'!D49</f>
        <v>63.514072189537288</v>
      </c>
      <c r="E49" s="42">
        <f>+'[3]15% 9-30'!E49</f>
        <v>68.408332008268417</v>
      </c>
      <c r="F49" s="42">
        <f>+'[3]15% 9-30'!F49</f>
        <v>74.123072030529499</v>
      </c>
      <c r="G49" s="42">
        <f>+'[3]15% 9-30'!G49</f>
        <v>73.79710605819686</v>
      </c>
      <c r="H49" s="42">
        <f>+'[3]15% 9-30'!H49</f>
        <v>58.945778343138812</v>
      </c>
      <c r="I49" s="47"/>
      <c r="J49" s="47"/>
      <c r="K49" s="47"/>
      <c r="L49" s="47"/>
      <c r="M49" s="47"/>
      <c r="N49" s="66"/>
      <c r="O49" s="39">
        <f>SUM(C49:N49)/6</f>
        <v>64.521916573912122</v>
      </c>
    </row>
    <row r="50" spans="1:15" ht="12" customHeight="1" x14ac:dyDescent="0.25">
      <c r="A50" s="40"/>
      <c r="B50" s="32"/>
      <c r="C50" s="49"/>
      <c r="D50" s="50"/>
      <c r="E50" s="50"/>
      <c r="F50" s="50"/>
      <c r="O50" s="51"/>
    </row>
    <row r="51" spans="1:15" ht="12" customHeight="1" x14ac:dyDescent="0.25">
      <c r="A51" s="36" t="s">
        <v>113</v>
      </c>
      <c r="B51" s="37" t="s">
        <v>114</v>
      </c>
      <c r="C51" s="52">
        <f>+C12</f>
        <v>15900.77</v>
      </c>
      <c r="D51" s="52">
        <f t="shared" ref="D51:H51" si="12">+D12</f>
        <v>16738</v>
      </c>
      <c r="E51" s="52">
        <f t="shared" si="12"/>
        <v>17596</v>
      </c>
      <c r="F51" s="52">
        <f t="shared" si="12"/>
        <v>47672.666666666664</v>
      </c>
      <c r="G51" s="52">
        <f t="shared" si="12"/>
        <v>36896.800000000003</v>
      </c>
      <c r="H51" s="52">
        <f t="shared" si="12"/>
        <v>15222.533333333335</v>
      </c>
      <c r="I51" s="52"/>
      <c r="J51" s="52"/>
      <c r="K51" s="52"/>
      <c r="L51" s="52"/>
      <c r="M51" s="52"/>
      <c r="N51" s="52"/>
      <c r="O51" s="53">
        <f>SUM(C51:N51)</f>
        <v>150026.77000000002</v>
      </c>
    </row>
    <row r="52" spans="1:15" ht="12" customHeight="1" x14ac:dyDescent="0.25">
      <c r="A52" s="36" t="s">
        <v>115</v>
      </c>
      <c r="B52" s="37" t="s">
        <v>114</v>
      </c>
      <c r="C52" s="52">
        <f>+C14</f>
        <v>0</v>
      </c>
      <c r="D52" s="52">
        <f t="shared" ref="D52:H52" si="13">+D14</f>
        <v>0</v>
      </c>
      <c r="E52" s="52">
        <f t="shared" si="13"/>
        <v>0</v>
      </c>
      <c r="F52" s="52">
        <f t="shared" si="13"/>
        <v>-1864.6666666666667</v>
      </c>
      <c r="G52" s="52">
        <f t="shared" si="13"/>
        <v>-3248.8</v>
      </c>
      <c r="H52" s="52">
        <f t="shared" si="13"/>
        <v>-3337.7333333333336</v>
      </c>
      <c r="I52" s="52"/>
      <c r="J52" s="52"/>
      <c r="K52" s="52"/>
      <c r="L52" s="52"/>
      <c r="M52" s="52"/>
      <c r="N52" s="52"/>
      <c r="O52" s="53">
        <f>SUM(C52:N52)</f>
        <v>-8451.2000000000007</v>
      </c>
    </row>
    <row r="53" spans="1:15" ht="12" customHeight="1" x14ac:dyDescent="0.25">
      <c r="A53" s="36" t="s">
        <v>18</v>
      </c>
      <c r="B53" s="37" t="s">
        <v>114</v>
      </c>
      <c r="C53" s="52">
        <f>+C40</f>
        <v>8990.5333333333328</v>
      </c>
      <c r="D53" s="52">
        <f t="shared" ref="D53:H53" si="14">+D40</f>
        <v>13262.333333333332</v>
      </c>
      <c r="E53" s="52">
        <f t="shared" si="14"/>
        <v>15135.333333333334</v>
      </c>
      <c r="F53" s="52">
        <f t="shared" si="14"/>
        <v>18830.066666666662</v>
      </c>
      <c r="G53" s="52">
        <f t="shared" si="14"/>
        <v>24123.133333333331</v>
      </c>
      <c r="H53" s="52">
        <f t="shared" si="14"/>
        <v>7830.5333333333328</v>
      </c>
      <c r="I53" s="52"/>
      <c r="J53" s="52"/>
      <c r="K53" s="52"/>
      <c r="L53" s="52"/>
      <c r="M53" s="52"/>
      <c r="N53" s="52"/>
      <c r="O53" s="53">
        <f>SUM(C53:N53)</f>
        <v>88171.93333333332</v>
      </c>
    </row>
    <row r="54" spans="1:15" ht="12" customHeight="1" x14ac:dyDescent="0.25">
      <c r="A54" s="40" t="s">
        <v>113</v>
      </c>
      <c r="B54" s="41" t="s">
        <v>112</v>
      </c>
      <c r="C54" s="54">
        <f>+C51/C45</f>
        <v>48.343138813801872</v>
      </c>
      <c r="D54" s="54">
        <f t="shared" ref="D54:H54" si="15">+D51/D45</f>
        <v>63.514072189537295</v>
      </c>
      <c r="E54" s="54">
        <f t="shared" si="15"/>
        <v>68.408332008268417</v>
      </c>
      <c r="F54" s="54">
        <f t="shared" si="15"/>
        <v>74.123072030529499</v>
      </c>
      <c r="G54" s="54">
        <f t="shared" si="15"/>
        <v>73.79710605819686</v>
      </c>
      <c r="H54" s="54">
        <f t="shared" si="15"/>
        <v>58.945778343138812</v>
      </c>
      <c r="I54" s="54"/>
      <c r="J54" s="54"/>
      <c r="K54" s="54"/>
      <c r="L54" s="54"/>
      <c r="M54" s="54"/>
      <c r="N54" s="54"/>
      <c r="O54" s="55">
        <f t="shared" ref="O54:O62" si="16">SUM(C54:N54)/6</f>
        <v>64.521916573912122</v>
      </c>
    </row>
    <row r="55" spans="1:15" ht="12" customHeight="1" x14ac:dyDescent="0.25">
      <c r="A55" s="36" t="s">
        <v>115</v>
      </c>
      <c r="B55" s="37" t="s">
        <v>112</v>
      </c>
      <c r="C55" s="56">
        <f>+C52/C45</f>
        <v>0</v>
      </c>
      <c r="D55" s="56">
        <f t="shared" ref="D55:H55" si="17">+D52/D45</f>
        <v>0</v>
      </c>
      <c r="E55" s="56">
        <f t="shared" si="17"/>
        <v>0</v>
      </c>
      <c r="F55" s="56">
        <f t="shared" si="17"/>
        <v>-2.8992467027841395</v>
      </c>
      <c r="G55" s="56">
        <f t="shared" si="17"/>
        <v>-6.4979087119172929</v>
      </c>
      <c r="H55" s="56">
        <f t="shared" si="17"/>
        <v>-12.924608862859392</v>
      </c>
      <c r="I55" s="56"/>
      <c r="J55" s="56"/>
      <c r="K55" s="56"/>
      <c r="L55" s="56"/>
      <c r="M55" s="56"/>
      <c r="N55" s="56"/>
      <c r="O55" s="57">
        <f t="shared" si="16"/>
        <v>-3.7202940462601375</v>
      </c>
    </row>
    <row r="56" spans="1:15" ht="12" customHeight="1" x14ac:dyDescent="0.25">
      <c r="A56" s="36" t="s">
        <v>18</v>
      </c>
      <c r="B56" s="37" t="s">
        <v>112</v>
      </c>
      <c r="C56" s="56">
        <f>+C53/C45</f>
        <v>27.333934202145315</v>
      </c>
      <c r="D56" s="56">
        <f t="shared" ref="D56:H56" si="18">+D53/D45</f>
        <v>50.325295539194649</v>
      </c>
      <c r="E56" s="56">
        <f t="shared" si="18"/>
        <v>58.841947472293626</v>
      </c>
      <c r="F56" s="56">
        <f t="shared" si="18"/>
        <v>29.277623541225697</v>
      </c>
      <c r="G56" s="56">
        <f t="shared" si="18"/>
        <v>48.248558928037767</v>
      </c>
      <c r="H56" s="56">
        <f t="shared" si="18"/>
        <v>30.321949183352739</v>
      </c>
      <c r="I56" s="56"/>
      <c r="J56" s="56"/>
      <c r="K56" s="56"/>
      <c r="L56" s="56"/>
      <c r="M56" s="56"/>
      <c r="N56" s="56"/>
      <c r="O56" s="58">
        <f t="shared" si="16"/>
        <v>40.724884811041626</v>
      </c>
    </row>
    <row r="57" spans="1:15" ht="12" customHeight="1" x14ac:dyDescent="0.25">
      <c r="A57" s="40" t="s">
        <v>116</v>
      </c>
      <c r="B57" s="41" t="s">
        <v>112</v>
      </c>
      <c r="C57" s="54">
        <f>+C54+C55-C56</f>
        <v>21.009204611656557</v>
      </c>
      <c r="D57" s="54">
        <f t="shared" ref="D57:H57" si="19">+D54+D55-D56</f>
        <v>13.188776650342646</v>
      </c>
      <c r="E57" s="54">
        <f t="shared" si="19"/>
        <v>9.566384535974791</v>
      </c>
      <c r="F57" s="54">
        <f t="shared" si="19"/>
        <v>41.946201786519666</v>
      </c>
      <c r="G57" s="54">
        <f t="shared" si="19"/>
        <v>19.050638418241803</v>
      </c>
      <c r="H57" s="54">
        <f t="shared" si="19"/>
        <v>15.699220296926679</v>
      </c>
      <c r="I57" s="54"/>
      <c r="J57" s="54"/>
      <c r="K57" s="54"/>
      <c r="L57" s="54"/>
      <c r="M57" s="54"/>
      <c r="N57" s="54"/>
      <c r="O57" s="55">
        <f t="shared" si="16"/>
        <v>20.076737716610356</v>
      </c>
    </row>
    <row r="58" spans="1:15" ht="12" customHeight="1" x14ac:dyDescent="0.25">
      <c r="A58" s="40" t="s">
        <v>117</v>
      </c>
      <c r="B58" s="59" t="s">
        <v>118</v>
      </c>
      <c r="C58" s="54">
        <f>-C14/C10*100</f>
        <v>0</v>
      </c>
      <c r="D58" s="54">
        <f t="shared" ref="D58:H58" si="20">-D14/D10*100</f>
        <v>0</v>
      </c>
      <c r="E58" s="54">
        <f t="shared" si="20"/>
        <v>0</v>
      </c>
      <c r="F58" s="54">
        <f t="shared" si="20"/>
        <v>3.9113957683648213</v>
      </c>
      <c r="G58" s="54">
        <f t="shared" si="20"/>
        <v>8.805099629236139</v>
      </c>
      <c r="H58" s="54">
        <f t="shared" si="20"/>
        <v>21.926267200378387</v>
      </c>
      <c r="I58" s="54"/>
      <c r="J58" s="54"/>
      <c r="K58" s="54"/>
      <c r="L58" s="54"/>
      <c r="M58" s="54"/>
      <c r="N58" s="54"/>
      <c r="O58" s="55">
        <f t="shared" si="16"/>
        <v>5.7737937663298915</v>
      </c>
    </row>
    <row r="59" spans="1:15" ht="12" customHeight="1" x14ac:dyDescent="0.25">
      <c r="A59" s="36" t="s">
        <v>119</v>
      </c>
      <c r="B59" s="60" t="s">
        <v>118</v>
      </c>
      <c r="C59" s="56">
        <v>0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/>
      <c r="J59" s="56"/>
      <c r="K59" s="56"/>
      <c r="L59" s="56"/>
      <c r="M59" s="56"/>
      <c r="N59" s="56"/>
      <c r="O59" s="58">
        <f t="shared" si="16"/>
        <v>0</v>
      </c>
    </row>
    <row r="60" spans="1:15" ht="12" customHeight="1" x14ac:dyDescent="0.25">
      <c r="A60" s="40" t="s">
        <v>120</v>
      </c>
      <c r="B60" s="59" t="s">
        <v>118</v>
      </c>
      <c r="C60" s="54">
        <f>+C52/C51*100</f>
        <v>0</v>
      </c>
      <c r="D60" s="54">
        <f t="shared" ref="D60:H60" si="21">+D52/D51*100</f>
        <v>0</v>
      </c>
      <c r="E60" s="54">
        <f t="shared" si="21"/>
        <v>0</v>
      </c>
      <c r="F60" s="54">
        <f t="shared" si="21"/>
        <v>-3.9113957683648213</v>
      </c>
      <c r="G60" s="54">
        <f t="shared" si="21"/>
        <v>-8.805099629236139</v>
      </c>
      <c r="H60" s="54">
        <f t="shared" si="21"/>
        <v>-21.926267200378387</v>
      </c>
      <c r="I60" s="54"/>
      <c r="J60" s="54"/>
      <c r="K60" s="54"/>
      <c r="L60" s="54"/>
      <c r="M60" s="54"/>
      <c r="N60" s="54"/>
      <c r="O60" s="55">
        <f t="shared" si="16"/>
        <v>-5.7737937663298915</v>
      </c>
    </row>
    <row r="61" spans="1:15" ht="12" customHeight="1" x14ac:dyDescent="0.25">
      <c r="A61" s="36" t="s">
        <v>121</v>
      </c>
      <c r="B61" s="60" t="s">
        <v>118</v>
      </c>
      <c r="C61" s="56">
        <f>C53/C51*100</f>
        <v>56.541496627731433</v>
      </c>
      <c r="D61" s="56">
        <f t="shared" ref="D61:H61" si="22">D53/D51*100</f>
        <v>79.234874736129356</v>
      </c>
      <c r="E61" s="56">
        <f t="shared" si="22"/>
        <v>86.015761157838909</v>
      </c>
      <c r="F61" s="56">
        <f t="shared" si="22"/>
        <v>39.498664503768751</v>
      </c>
      <c r="G61" s="56">
        <f t="shared" si="22"/>
        <v>65.380014888373324</v>
      </c>
      <c r="H61" s="56">
        <f t="shared" si="22"/>
        <v>51.440408517198179</v>
      </c>
      <c r="I61" s="56"/>
      <c r="J61" s="56"/>
      <c r="K61" s="56"/>
      <c r="L61" s="56"/>
      <c r="M61" s="56"/>
      <c r="N61" s="56"/>
      <c r="O61" s="57">
        <f t="shared" si="16"/>
        <v>63.018536738506668</v>
      </c>
    </row>
    <row r="62" spans="1:15" ht="12" customHeight="1" x14ac:dyDescent="0.25">
      <c r="A62" s="61" t="s">
        <v>122</v>
      </c>
      <c r="B62" s="62" t="s">
        <v>118</v>
      </c>
      <c r="C62" s="63">
        <f>C53/(C51+C52)*100</f>
        <v>56.541496627731433</v>
      </c>
      <c r="D62" s="63">
        <f t="shared" ref="D62:H62" si="23">D53/(D51+D52)*100</f>
        <v>79.234874736129356</v>
      </c>
      <c r="E62" s="63">
        <f t="shared" si="23"/>
        <v>86.015761157838909</v>
      </c>
      <c r="F62" s="63">
        <f t="shared" si="23"/>
        <v>41.10650250320176</v>
      </c>
      <c r="G62" s="63">
        <f t="shared" si="23"/>
        <v>71.692621651608818</v>
      </c>
      <c r="H62" s="63">
        <f t="shared" si="23"/>
        <v>65.886959253275876</v>
      </c>
      <c r="I62" s="63"/>
      <c r="J62" s="63"/>
      <c r="K62" s="63"/>
      <c r="L62" s="63"/>
      <c r="M62" s="63"/>
      <c r="N62" s="63"/>
      <c r="O62" s="58">
        <f t="shared" si="16"/>
        <v>66.746369321631036</v>
      </c>
    </row>
  </sheetData>
  <mergeCells count="3">
    <mergeCell ref="A1:O1"/>
    <mergeCell ref="A2:O2"/>
    <mergeCell ref="A3:O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BFF56-5B44-4A43-9888-0B414635B4ED}">
  <dimension ref="A1:H17"/>
  <sheetViews>
    <sheetView workbookViewId="0">
      <selection activeCell="J15" sqref="J15"/>
    </sheetView>
  </sheetViews>
  <sheetFormatPr defaultRowHeight="15" x14ac:dyDescent="0.25"/>
  <cols>
    <col min="1" max="1" width="23.140625" customWidth="1"/>
    <col min="2" max="8" width="7.710937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125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18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19</v>
      </c>
      <c r="B7" s="26"/>
      <c r="C7" s="26"/>
      <c r="D7" s="26"/>
      <c r="E7" s="26"/>
      <c r="F7" s="26"/>
      <c r="G7" s="26"/>
      <c r="H7" s="27">
        <f t="shared" ref="H7:H13" si="0">(((((B7)+(C7))+(D7))+(E7))+(F7))+(G7)</f>
        <v>0</v>
      </c>
    </row>
    <row r="8" spans="1:8" x14ac:dyDescent="0.25">
      <c r="A8" s="25" t="s">
        <v>24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94</v>
      </c>
      <c r="B9" s="26"/>
      <c r="C9" s="26"/>
      <c r="D9" s="26"/>
      <c r="E9" s="26"/>
      <c r="F9" s="27">
        <f>67.2</f>
        <v>67.2</v>
      </c>
      <c r="G9" s="26"/>
      <c r="H9" s="27">
        <f t="shared" si="0"/>
        <v>67.2</v>
      </c>
    </row>
    <row r="10" spans="1:8" x14ac:dyDescent="0.25">
      <c r="A10" s="25" t="s">
        <v>26</v>
      </c>
      <c r="B10" s="28">
        <f t="shared" ref="B10:G10" si="1">(B8)+(B9)</f>
        <v>0</v>
      </c>
      <c r="C10" s="28">
        <f t="shared" si="1"/>
        <v>0</v>
      </c>
      <c r="D10" s="28">
        <f t="shared" si="1"/>
        <v>0</v>
      </c>
      <c r="E10" s="28">
        <f t="shared" si="1"/>
        <v>0</v>
      </c>
      <c r="F10" s="28">
        <f t="shared" si="1"/>
        <v>67.2</v>
      </c>
      <c r="G10" s="28">
        <f t="shared" si="1"/>
        <v>0</v>
      </c>
      <c r="H10" s="28">
        <f t="shared" si="0"/>
        <v>67.2</v>
      </c>
    </row>
    <row r="11" spans="1:8" x14ac:dyDescent="0.25">
      <c r="A11" s="25" t="s">
        <v>34</v>
      </c>
      <c r="B11" s="28">
        <f t="shared" ref="B11:G11" si="2">(B7)+(B10)</f>
        <v>0</v>
      </c>
      <c r="C11" s="28">
        <f t="shared" si="2"/>
        <v>0</v>
      </c>
      <c r="D11" s="28">
        <f t="shared" si="2"/>
        <v>0</v>
      </c>
      <c r="E11" s="28">
        <f t="shared" si="2"/>
        <v>0</v>
      </c>
      <c r="F11" s="28">
        <f t="shared" si="2"/>
        <v>67.2</v>
      </c>
      <c r="G11" s="28">
        <f t="shared" si="2"/>
        <v>0</v>
      </c>
      <c r="H11" s="28">
        <f t="shared" si="0"/>
        <v>67.2</v>
      </c>
    </row>
    <row r="12" spans="1:8" x14ac:dyDescent="0.25">
      <c r="A12" s="25" t="s">
        <v>35</v>
      </c>
      <c r="B12" s="28">
        <f t="shared" ref="B12:G12" si="3">B11</f>
        <v>0</v>
      </c>
      <c r="C12" s="28">
        <f t="shared" si="3"/>
        <v>0</v>
      </c>
      <c r="D12" s="28">
        <f t="shared" si="3"/>
        <v>0</v>
      </c>
      <c r="E12" s="28">
        <f t="shared" si="3"/>
        <v>0</v>
      </c>
      <c r="F12" s="28">
        <f t="shared" si="3"/>
        <v>67.2</v>
      </c>
      <c r="G12" s="28">
        <f t="shared" si="3"/>
        <v>0</v>
      </c>
      <c r="H12" s="28">
        <f t="shared" si="0"/>
        <v>67.2</v>
      </c>
    </row>
    <row r="13" spans="1:8" x14ac:dyDescent="0.25">
      <c r="A13" s="25" t="s">
        <v>36</v>
      </c>
      <c r="B13" s="28">
        <f t="shared" ref="B13:G13" si="4">(((0)-(B12))+(0))-(0)</f>
        <v>0</v>
      </c>
      <c r="C13" s="28">
        <f t="shared" si="4"/>
        <v>0</v>
      </c>
      <c r="D13" s="28">
        <f t="shared" si="4"/>
        <v>0</v>
      </c>
      <c r="E13" s="28">
        <f t="shared" si="4"/>
        <v>0</v>
      </c>
      <c r="F13" s="28">
        <f t="shared" si="4"/>
        <v>-67.2</v>
      </c>
      <c r="G13" s="28">
        <f t="shared" si="4"/>
        <v>0</v>
      </c>
      <c r="H13" s="28">
        <f t="shared" si="0"/>
        <v>-67.2</v>
      </c>
    </row>
    <row r="14" spans="1:8" x14ac:dyDescent="0.25">
      <c r="A14" s="25"/>
      <c r="B14" s="26"/>
      <c r="C14" s="26"/>
      <c r="D14" s="26"/>
      <c r="E14" s="26"/>
      <c r="F14" s="26"/>
      <c r="G14" s="26"/>
      <c r="H14" s="26"/>
    </row>
    <row r="17" spans="1:8" x14ac:dyDescent="0.25">
      <c r="A17" s="29" t="s">
        <v>126</v>
      </c>
      <c r="B17" s="2"/>
      <c r="C17" s="2"/>
      <c r="D17" s="2"/>
      <c r="E17" s="2"/>
      <c r="F17" s="2"/>
      <c r="G17" s="2"/>
      <c r="H17" s="2"/>
    </row>
  </sheetData>
  <mergeCells count="4">
    <mergeCell ref="A1:H1"/>
    <mergeCell ref="A2:H2"/>
    <mergeCell ref="A3:H3"/>
    <mergeCell ref="A17:H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D4993-437F-49CB-887C-7761A9B2B941}">
  <dimension ref="A1:H39"/>
  <sheetViews>
    <sheetView topLeftCell="A16" workbookViewId="0">
      <selection activeCell="J36" sqref="J36"/>
    </sheetView>
  </sheetViews>
  <sheetFormatPr defaultRowHeight="15" x14ac:dyDescent="0.25"/>
  <cols>
    <col min="1" max="1" width="30.140625" customWidth="1"/>
    <col min="2" max="2" width="8.5703125" customWidth="1"/>
    <col min="3" max="5" width="9.28515625" bestFit="1" customWidth="1"/>
    <col min="6" max="6" width="9.42578125" customWidth="1"/>
    <col min="7" max="7" width="8.5703125" customWidth="1"/>
    <col min="8" max="8" width="10.28515625" customWidth="1"/>
  </cols>
  <sheetData>
    <row r="1" spans="1:8" ht="1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1" t="s">
        <v>38</v>
      </c>
      <c r="B2" s="2"/>
      <c r="C2" s="2"/>
      <c r="D2" s="2"/>
      <c r="E2" s="2"/>
      <c r="F2" s="2"/>
      <c r="G2" s="2"/>
      <c r="H2" s="2"/>
    </row>
    <row r="3" spans="1:8" x14ac:dyDescent="0.25">
      <c r="A3" s="3" t="s">
        <v>2</v>
      </c>
      <c r="B3" s="2"/>
      <c r="C3" s="2"/>
      <c r="D3" s="2"/>
      <c r="E3" s="2"/>
      <c r="F3" s="2"/>
      <c r="G3" s="2"/>
      <c r="H3" s="2"/>
    </row>
    <row r="5" spans="1:8" x14ac:dyDescent="0.25">
      <c r="A5" s="4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</row>
    <row r="6" spans="1:8" x14ac:dyDescent="0.25">
      <c r="A6" s="6" t="s">
        <v>10</v>
      </c>
      <c r="B6" s="7"/>
      <c r="C6" s="7"/>
      <c r="D6" s="7"/>
      <c r="E6" s="7"/>
      <c r="F6" s="7"/>
      <c r="G6" s="7"/>
      <c r="H6" s="7"/>
    </row>
    <row r="7" spans="1:8" x14ac:dyDescent="0.25">
      <c r="A7" s="6" t="s">
        <v>11</v>
      </c>
      <c r="B7" s="7"/>
      <c r="C7" s="7"/>
      <c r="D7" s="7"/>
      <c r="E7" s="7"/>
      <c r="F7" s="7"/>
      <c r="G7" s="7"/>
      <c r="H7" s="8">
        <f t="shared" ref="H7:H16" si="0">(((((B7)+(C7))+(D7))+(E7))+(F7))+(G7)</f>
        <v>0</v>
      </c>
    </row>
    <row r="8" spans="1:8" x14ac:dyDescent="0.25">
      <c r="A8" s="6" t="s">
        <v>12</v>
      </c>
      <c r="B8" s="7"/>
      <c r="C8" s="7"/>
      <c r="D8" s="7"/>
      <c r="E8" s="7"/>
      <c r="F8" s="7"/>
      <c r="G8" s="7"/>
      <c r="H8" s="8">
        <f t="shared" si="0"/>
        <v>0</v>
      </c>
    </row>
    <row r="9" spans="1:8" x14ac:dyDescent="0.25">
      <c r="A9" s="6" t="s">
        <v>13</v>
      </c>
      <c r="B9" s="8">
        <f>9305.06</f>
        <v>9305.06</v>
      </c>
      <c r="C9" s="8">
        <f>8696.63</f>
        <v>8696.6299999999992</v>
      </c>
      <c r="D9" s="8">
        <f>8627.07</f>
        <v>8627.07</v>
      </c>
      <c r="E9" s="8">
        <f>9235.42</f>
        <v>9235.42</v>
      </c>
      <c r="F9" s="8">
        <f>11614.16</f>
        <v>11614.16</v>
      </c>
      <c r="G9" s="8">
        <f>5687.78</f>
        <v>5687.78</v>
      </c>
      <c r="H9" s="8">
        <f t="shared" si="0"/>
        <v>53166.119999999995</v>
      </c>
    </row>
    <row r="10" spans="1:8" x14ac:dyDescent="0.25">
      <c r="A10" s="6" t="s">
        <v>14</v>
      </c>
      <c r="B10" s="9">
        <f t="shared" ref="B10:G10" si="1">(B8)+(B9)</f>
        <v>9305.06</v>
      </c>
      <c r="C10" s="9">
        <f t="shared" si="1"/>
        <v>8696.6299999999992</v>
      </c>
      <c r="D10" s="9">
        <f t="shared" si="1"/>
        <v>8627.07</v>
      </c>
      <c r="E10" s="9">
        <f t="shared" si="1"/>
        <v>9235.42</v>
      </c>
      <c r="F10" s="9">
        <f t="shared" si="1"/>
        <v>11614.16</v>
      </c>
      <c r="G10" s="9">
        <f t="shared" si="1"/>
        <v>5687.78</v>
      </c>
      <c r="H10" s="9">
        <f t="shared" si="0"/>
        <v>53166.119999999995</v>
      </c>
    </row>
    <row r="11" spans="1:8" x14ac:dyDescent="0.25">
      <c r="A11" s="6" t="s">
        <v>15</v>
      </c>
      <c r="B11" s="9">
        <f t="shared" ref="B11:G11" si="2">(B7)+(B10)</f>
        <v>9305.06</v>
      </c>
      <c r="C11" s="9">
        <f t="shared" si="2"/>
        <v>8696.6299999999992</v>
      </c>
      <c r="D11" s="9">
        <f t="shared" si="2"/>
        <v>8627.07</v>
      </c>
      <c r="E11" s="9">
        <f t="shared" si="2"/>
        <v>9235.42</v>
      </c>
      <c r="F11" s="9">
        <f t="shared" si="2"/>
        <v>11614.16</v>
      </c>
      <c r="G11" s="9">
        <f t="shared" si="2"/>
        <v>5687.78</v>
      </c>
      <c r="H11" s="9">
        <f t="shared" si="0"/>
        <v>53166.119999999995</v>
      </c>
    </row>
    <row r="12" spans="1:8" x14ac:dyDescent="0.25">
      <c r="A12" s="6" t="s">
        <v>39</v>
      </c>
      <c r="B12" s="7"/>
      <c r="C12" s="7"/>
      <c r="D12" s="7"/>
      <c r="E12" s="7"/>
      <c r="F12" s="7"/>
      <c r="G12" s="7"/>
      <c r="H12" s="8">
        <f t="shared" si="0"/>
        <v>0</v>
      </c>
    </row>
    <row r="13" spans="1:8" x14ac:dyDescent="0.25">
      <c r="A13" s="6" t="s">
        <v>40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f t="shared" si="0"/>
        <v>0</v>
      </c>
    </row>
    <row r="14" spans="1:8" x14ac:dyDescent="0.25">
      <c r="A14" s="6" t="s">
        <v>41</v>
      </c>
      <c r="B14" s="9">
        <f t="shared" ref="B14:G14" si="3">(B12)+(B13)</f>
        <v>0</v>
      </c>
      <c r="C14" s="9">
        <f t="shared" si="3"/>
        <v>0</v>
      </c>
      <c r="D14" s="9">
        <f t="shared" si="3"/>
        <v>0</v>
      </c>
      <c r="E14" s="9">
        <f t="shared" si="3"/>
        <v>0</v>
      </c>
      <c r="F14" s="9">
        <f t="shared" si="3"/>
        <v>0</v>
      </c>
      <c r="G14" s="9">
        <f t="shared" si="3"/>
        <v>0</v>
      </c>
      <c r="H14" s="9">
        <f t="shared" si="0"/>
        <v>0</v>
      </c>
    </row>
    <row r="15" spans="1:8" x14ac:dyDescent="0.25">
      <c r="A15" s="6" t="s">
        <v>16</v>
      </c>
      <c r="B15" s="9">
        <f t="shared" ref="B15:G15" si="4">(B11)+(B14)</f>
        <v>9305.06</v>
      </c>
      <c r="C15" s="9">
        <f t="shared" si="4"/>
        <v>8696.6299999999992</v>
      </c>
      <c r="D15" s="9">
        <f t="shared" si="4"/>
        <v>8627.07</v>
      </c>
      <c r="E15" s="9">
        <f t="shared" si="4"/>
        <v>9235.42</v>
      </c>
      <c r="F15" s="9">
        <f t="shared" si="4"/>
        <v>11614.16</v>
      </c>
      <c r="G15" s="9">
        <f t="shared" si="4"/>
        <v>5687.78</v>
      </c>
      <c r="H15" s="9">
        <f t="shared" si="0"/>
        <v>53166.119999999995</v>
      </c>
    </row>
    <row r="16" spans="1:8" x14ac:dyDescent="0.25">
      <c r="A16" s="6" t="s">
        <v>17</v>
      </c>
      <c r="B16" s="9">
        <f t="shared" ref="B16:G16" si="5">(B15)-(0)</f>
        <v>9305.06</v>
      </c>
      <c r="C16" s="9">
        <f t="shared" si="5"/>
        <v>8696.6299999999992</v>
      </c>
      <c r="D16" s="9">
        <f t="shared" si="5"/>
        <v>8627.07</v>
      </c>
      <c r="E16" s="9">
        <f t="shared" si="5"/>
        <v>9235.42</v>
      </c>
      <c r="F16" s="9">
        <f t="shared" si="5"/>
        <v>11614.16</v>
      </c>
      <c r="G16" s="9">
        <f t="shared" si="5"/>
        <v>5687.78</v>
      </c>
      <c r="H16" s="9">
        <f t="shared" si="0"/>
        <v>53166.119999999995</v>
      </c>
    </row>
    <row r="17" spans="1:8" x14ac:dyDescent="0.25">
      <c r="A17" s="6" t="s">
        <v>18</v>
      </c>
      <c r="B17" s="7"/>
      <c r="C17" s="7"/>
      <c r="D17" s="7"/>
      <c r="E17" s="7"/>
      <c r="F17" s="7"/>
      <c r="G17" s="7"/>
      <c r="H17" s="7"/>
    </row>
    <row r="18" spans="1:8" x14ac:dyDescent="0.25">
      <c r="A18" s="6" t="s">
        <v>19</v>
      </c>
      <c r="B18" s="7"/>
      <c r="C18" s="7"/>
      <c r="D18" s="7"/>
      <c r="E18" s="7"/>
      <c r="F18" s="7"/>
      <c r="G18" s="7"/>
      <c r="H18" s="8">
        <f t="shared" ref="H18:H35" si="6">(((((B18)+(C18))+(D18))+(E18))+(F18))+(G18)</f>
        <v>0</v>
      </c>
    </row>
    <row r="19" spans="1:8" x14ac:dyDescent="0.25">
      <c r="A19" s="6" t="s">
        <v>20</v>
      </c>
      <c r="B19" s="8">
        <f>278.5</f>
        <v>278.5</v>
      </c>
      <c r="C19" s="8">
        <f>835.52</f>
        <v>835.52</v>
      </c>
      <c r="D19" s="8">
        <f>309.08</f>
        <v>309.08</v>
      </c>
      <c r="E19" s="8">
        <f>278.51</f>
        <v>278.51</v>
      </c>
      <c r="F19" s="8">
        <f>278.51</f>
        <v>278.51</v>
      </c>
      <c r="G19" s="8">
        <f>557.01</f>
        <v>557.01</v>
      </c>
      <c r="H19" s="8">
        <f t="shared" si="6"/>
        <v>2537.13</v>
      </c>
    </row>
    <row r="20" spans="1:8" x14ac:dyDescent="0.25">
      <c r="A20" s="6" t="s">
        <v>21</v>
      </c>
      <c r="B20" s="8">
        <f>430.45</f>
        <v>430.45</v>
      </c>
      <c r="C20" s="8">
        <f>334.55</f>
        <v>334.55</v>
      </c>
      <c r="D20" s="8">
        <f>430.45</f>
        <v>430.45</v>
      </c>
      <c r="E20" s="8">
        <f>395.45</f>
        <v>395.45</v>
      </c>
      <c r="F20" s="8">
        <f>385</f>
        <v>385</v>
      </c>
      <c r="G20" s="8">
        <f>812.28</f>
        <v>812.28</v>
      </c>
      <c r="H20" s="8">
        <f t="shared" si="6"/>
        <v>2788.1800000000003</v>
      </c>
    </row>
    <row r="21" spans="1:8" x14ac:dyDescent="0.25">
      <c r="A21" s="6" t="s">
        <v>22</v>
      </c>
      <c r="B21" s="8">
        <f>578.93</f>
        <v>578.92999999999995</v>
      </c>
      <c r="C21" s="8">
        <f>976.23</f>
        <v>976.23</v>
      </c>
      <c r="D21" s="8">
        <f>691.91</f>
        <v>691.91</v>
      </c>
      <c r="E21" s="8">
        <f>561.21</f>
        <v>561.21</v>
      </c>
      <c r="F21" s="8">
        <f>729.55</f>
        <v>729.55</v>
      </c>
      <c r="G21" s="8">
        <f>532.95</f>
        <v>532.95000000000005</v>
      </c>
      <c r="H21" s="8">
        <f t="shared" si="6"/>
        <v>4070.7799999999997</v>
      </c>
    </row>
    <row r="22" spans="1:8" x14ac:dyDescent="0.25">
      <c r="A22" s="6" t="s">
        <v>24</v>
      </c>
      <c r="B22" s="7"/>
      <c r="C22" s="7"/>
      <c r="D22" s="7"/>
      <c r="E22" s="7"/>
      <c r="F22" s="7"/>
      <c r="G22" s="7"/>
      <c r="H22" s="8">
        <f t="shared" si="6"/>
        <v>0</v>
      </c>
    </row>
    <row r="23" spans="1:8" x14ac:dyDescent="0.25">
      <c r="A23" s="6" t="s">
        <v>25</v>
      </c>
      <c r="B23" s="7"/>
      <c r="C23" s="7"/>
      <c r="D23" s="7"/>
      <c r="E23" s="7"/>
      <c r="F23" s="7"/>
      <c r="G23" s="8">
        <f>1323.33</f>
        <v>1323.33</v>
      </c>
      <c r="H23" s="8">
        <f t="shared" si="6"/>
        <v>1323.33</v>
      </c>
    </row>
    <row r="24" spans="1:8" x14ac:dyDescent="0.25">
      <c r="A24" s="6" t="s">
        <v>26</v>
      </c>
      <c r="B24" s="9">
        <f t="shared" ref="B24:G24" si="7">(B22)+(B23)</f>
        <v>0</v>
      </c>
      <c r="C24" s="9">
        <f t="shared" si="7"/>
        <v>0</v>
      </c>
      <c r="D24" s="9">
        <f t="shared" si="7"/>
        <v>0</v>
      </c>
      <c r="E24" s="9">
        <f t="shared" si="7"/>
        <v>0</v>
      </c>
      <c r="F24" s="9">
        <f t="shared" si="7"/>
        <v>0</v>
      </c>
      <c r="G24" s="9">
        <f t="shared" si="7"/>
        <v>1323.33</v>
      </c>
      <c r="H24" s="9">
        <f t="shared" si="6"/>
        <v>1323.33</v>
      </c>
    </row>
    <row r="25" spans="1:8" x14ac:dyDescent="0.25">
      <c r="A25" s="6" t="s">
        <v>48</v>
      </c>
      <c r="B25" s="12"/>
      <c r="C25" s="12"/>
      <c r="D25" s="12"/>
      <c r="E25" s="12"/>
      <c r="F25" s="12">
        <v>635.96</v>
      </c>
      <c r="G25" s="12"/>
      <c r="H25" s="8">
        <f t="shared" si="6"/>
        <v>635.96</v>
      </c>
    </row>
    <row r="26" spans="1:8" x14ac:dyDescent="0.25">
      <c r="A26" s="6" t="s">
        <v>27</v>
      </c>
      <c r="B26" s="7"/>
      <c r="C26" s="7"/>
      <c r="D26" s="8">
        <f>57.3</f>
        <v>57.3</v>
      </c>
      <c r="E26" s="7"/>
      <c r="F26" s="8">
        <f>262.18</f>
        <v>262.18</v>
      </c>
      <c r="G26" s="7"/>
      <c r="H26" s="8">
        <f t="shared" si="6"/>
        <v>319.48</v>
      </c>
    </row>
    <row r="27" spans="1:8" x14ac:dyDescent="0.25">
      <c r="A27" s="6" t="s">
        <v>28</v>
      </c>
      <c r="B27" s="7"/>
      <c r="C27" s="7"/>
      <c r="D27" s="7"/>
      <c r="E27" s="7"/>
      <c r="F27" s="7"/>
      <c r="G27" s="8">
        <f>14.49</f>
        <v>14.49</v>
      </c>
      <c r="H27" s="8">
        <f t="shared" si="6"/>
        <v>14.49</v>
      </c>
    </row>
    <row r="28" spans="1:8" x14ac:dyDescent="0.25">
      <c r="A28" s="6" t="s">
        <v>30</v>
      </c>
      <c r="B28" s="7"/>
      <c r="C28" s="7"/>
      <c r="D28" s="7"/>
      <c r="E28" s="7"/>
      <c r="F28" s="8">
        <f>115.91</f>
        <v>115.91</v>
      </c>
      <c r="G28" s="7"/>
      <c r="H28" s="8">
        <f t="shared" si="6"/>
        <v>115.91</v>
      </c>
    </row>
    <row r="29" spans="1:8" x14ac:dyDescent="0.25">
      <c r="A29" s="6" t="s">
        <v>42</v>
      </c>
      <c r="B29" s="7"/>
      <c r="C29" s="7"/>
      <c r="D29" s="8">
        <f>289.64</f>
        <v>289.64</v>
      </c>
      <c r="E29" s="7"/>
      <c r="F29" s="7"/>
      <c r="G29" s="7"/>
      <c r="H29" s="8">
        <f t="shared" si="6"/>
        <v>289.64</v>
      </c>
    </row>
    <row r="30" spans="1:8" x14ac:dyDescent="0.25">
      <c r="A30" s="6" t="s">
        <v>31</v>
      </c>
      <c r="B30" s="7"/>
      <c r="C30" s="7"/>
      <c r="D30" s="7"/>
      <c r="E30" s="7"/>
      <c r="F30" s="7"/>
      <c r="G30" s="8">
        <f>10.67</f>
        <v>10.67</v>
      </c>
      <c r="H30" s="8">
        <f t="shared" si="6"/>
        <v>10.67</v>
      </c>
    </row>
    <row r="31" spans="1:8" x14ac:dyDescent="0.25">
      <c r="A31" s="6" t="s">
        <v>32</v>
      </c>
      <c r="B31" s="7"/>
      <c r="C31" s="7"/>
      <c r="D31" s="7"/>
      <c r="E31" s="8">
        <f>79.95</f>
        <v>79.95</v>
      </c>
      <c r="F31" s="7"/>
      <c r="G31" s="7"/>
      <c r="H31" s="8">
        <f t="shared" si="6"/>
        <v>79.95</v>
      </c>
    </row>
    <row r="32" spans="1:8" x14ac:dyDescent="0.25">
      <c r="A32" s="6" t="s">
        <v>33</v>
      </c>
      <c r="B32" s="8">
        <f>1474.89</f>
        <v>1474.89</v>
      </c>
      <c r="C32" s="8">
        <f>1402.05</f>
        <v>1402.05</v>
      </c>
      <c r="D32" s="8">
        <f>1027.95</f>
        <v>1027.95</v>
      </c>
      <c r="E32" s="8">
        <f>1014.63</f>
        <v>1014.63</v>
      </c>
      <c r="F32" s="8">
        <f>1948.64</f>
        <v>1948.64</v>
      </c>
      <c r="G32" s="8">
        <f>1914.78</f>
        <v>1914.78</v>
      </c>
      <c r="H32" s="8">
        <f t="shared" si="6"/>
        <v>8782.94</v>
      </c>
    </row>
    <row r="33" spans="1:8" x14ac:dyDescent="0.25">
      <c r="A33" s="6" t="s">
        <v>34</v>
      </c>
      <c r="B33" s="9">
        <f t="shared" ref="B33:G33" si="8">(((((((((((B18)+(B19))+(B20))+(B21))+(B24))+(B26))+(B27))+(B28))+(B29))+(B30))+(B31))+(B32)</f>
        <v>2762.7700000000004</v>
      </c>
      <c r="C33" s="9">
        <f t="shared" si="8"/>
        <v>3548.3500000000004</v>
      </c>
      <c r="D33" s="9">
        <f t="shared" si="8"/>
        <v>2806.33</v>
      </c>
      <c r="E33" s="9">
        <f t="shared" si="8"/>
        <v>2329.75</v>
      </c>
      <c r="F33" s="9">
        <f>(((((((((((F18)+(F19))+(F20))+(F21))+(F24))+(F26))+(F27))+(F28))+(F29))+(F30))+(F31))+(F32)+F25</f>
        <v>4355.75</v>
      </c>
      <c r="G33" s="9">
        <f t="shared" si="8"/>
        <v>5165.5099999999993</v>
      </c>
      <c r="H33" s="9">
        <f t="shared" si="6"/>
        <v>20968.46</v>
      </c>
    </row>
    <row r="34" spans="1:8" x14ac:dyDescent="0.25">
      <c r="A34" s="6" t="s">
        <v>35</v>
      </c>
      <c r="B34" s="9">
        <f t="shared" ref="B34:G34" si="9">B33</f>
        <v>2762.7700000000004</v>
      </c>
      <c r="C34" s="9">
        <f t="shared" si="9"/>
        <v>3548.3500000000004</v>
      </c>
      <c r="D34" s="9">
        <f t="shared" si="9"/>
        <v>2806.33</v>
      </c>
      <c r="E34" s="9">
        <f t="shared" si="9"/>
        <v>2329.75</v>
      </c>
      <c r="F34" s="9">
        <f t="shared" si="9"/>
        <v>4355.75</v>
      </c>
      <c r="G34" s="9">
        <f t="shared" si="9"/>
        <v>5165.5099999999993</v>
      </c>
      <c r="H34" s="9">
        <f t="shared" si="6"/>
        <v>20968.46</v>
      </c>
    </row>
    <row r="35" spans="1:8" x14ac:dyDescent="0.25">
      <c r="A35" s="6" t="s">
        <v>36</v>
      </c>
      <c r="B35" s="9">
        <f t="shared" ref="B35:G35" si="10">(((B16)-(B34))+(0))-(0)</f>
        <v>6542.2899999999991</v>
      </c>
      <c r="C35" s="9">
        <f t="shared" si="10"/>
        <v>5148.2799999999988</v>
      </c>
      <c r="D35" s="9">
        <f t="shared" si="10"/>
        <v>5820.74</v>
      </c>
      <c r="E35" s="9">
        <f t="shared" si="10"/>
        <v>6905.67</v>
      </c>
      <c r="F35" s="9">
        <f t="shared" si="10"/>
        <v>7258.41</v>
      </c>
      <c r="G35" s="9">
        <f t="shared" si="10"/>
        <v>522.27000000000044</v>
      </c>
      <c r="H35" s="9">
        <f t="shared" si="6"/>
        <v>32197.659999999996</v>
      </c>
    </row>
    <row r="36" spans="1:8" x14ac:dyDescent="0.25">
      <c r="A36" s="6"/>
      <c r="B36" s="7"/>
      <c r="C36" s="7"/>
      <c r="D36" s="7"/>
      <c r="E36" s="7"/>
      <c r="F36" s="7"/>
      <c r="G36" s="7"/>
      <c r="H36" s="7"/>
    </row>
    <row r="39" spans="1:8" x14ac:dyDescent="0.25">
      <c r="A39" s="10" t="s">
        <v>43</v>
      </c>
      <c r="B39" s="2"/>
      <c r="C39" s="2"/>
      <c r="D39" s="2"/>
      <c r="E39" s="2"/>
      <c r="F39" s="2"/>
      <c r="G39" s="2"/>
      <c r="H39" s="2"/>
    </row>
  </sheetData>
  <mergeCells count="4">
    <mergeCell ref="A1:H1"/>
    <mergeCell ref="A2:H2"/>
    <mergeCell ref="A3:H3"/>
    <mergeCell ref="A39:H3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5F20D-FB87-4ACD-9F64-92472B7AF65B}">
  <dimension ref="A1:H22"/>
  <sheetViews>
    <sheetView workbookViewId="0">
      <selection activeCell="J13" sqref="J13"/>
    </sheetView>
  </sheetViews>
  <sheetFormatPr defaultRowHeight="15" x14ac:dyDescent="0.25"/>
  <cols>
    <col min="1" max="1" width="26.5703125" customWidth="1"/>
    <col min="2" max="3" width="7.7109375" customWidth="1"/>
    <col min="4" max="4" width="8.5703125" customWidth="1"/>
    <col min="5" max="5" width="7.7109375" customWidth="1"/>
    <col min="6" max="6" width="8.5703125" customWidth="1"/>
    <col min="7" max="8" width="11.140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127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18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19</v>
      </c>
      <c r="B7" s="26"/>
      <c r="C7" s="26"/>
      <c r="D7" s="26"/>
      <c r="E7" s="26"/>
      <c r="F7" s="26"/>
      <c r="G7" s="26"/>
      <c r="H7" s="27">
        <f t="shared" ref="H7:H18" si="0">(((((B7)+(C7))+(D7))+(E7))+(F7))+(G7)</f>
        <v>0</v>
      </c>
    </row>
    <row r="8" spans="1:8" x14ac:dyDescent="0.25">
      <c r="A8" s="25" t="s">
        <v>24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50</v>
      </c>
      <c r="B9" s="26"/>
      <c r="C9" s="26"/>
      <c r="D9" s="27">
        <f>487.68</f>
        <v>487.68</v>
      </c>
      <c r="E9" s="26"/>
      <c r="F9" s="26"/>
      <c r="G9" s="26"/>
      <c r="H9" s="27">
        <f t="shared" si="0"/>
        <v>487.68</v>
      </c>
    </row>
    <row r="10" spans="1:8" x14ac:dyDescent="0.25">
      <c r="A10" s="25" t="s">
        <v>25</v>
      </c>
      <c r="B10" s="26"/>
      <c r="C10" s="26"/>
      <c r="D10" s="26"/>
      <c r="E10" s="26"/>
      <c r="F10" s="26"/>
      <c r="G10" s="27">
        <f>3150</f>
        <v>3150</v>
      </c>
      <c r="H10" s="27">
        <f t="shared" si="0"/>
        <v>3150</v>
      </c>
    </row>
    <row r="11" spans="1:8" x14ac:dyDescent="0.25">
      <c r="A11" s="25" t="s">
        <v>26</v>
      </c>
      <c r="B11" s="28">
        <f t="shared" ref="B11:G11" si="1">((B8)+(B9))+(B10)</f>
        <v>0</v>
      </c>
      <c r="C11" s="28">
        <f t="shared" si="1"/>
        <v>0</v>
      </c>
      <c r="D11" s="28">
        <f t="shared" si="1"/>
        <v>487.68</v>
      </c>
      <c r="E11" s="28">
        <f t="shared" si="1"/>
        <v>0</v>
      </c>
      <c r="F11" s="28">
        <f t="shared" si="1"/>
        <v>0</v>
      </c>
      <c r="G11" s="28">
        <f t="shared" si="1"/>
        <v>3150</v>
      </c>
      <c r="H11" s="28">
        <f t="shared" si="0"/>
        <v>3637.68</v>
      </c>
    </row>
    <row r="12" spans="1:8" x14ac:dyDescent="0.25">
      <c r="A12" s="25" t="s">
        <v>27</v>
      </c>
      <c r="B12" s="26"/>
      <c r="C12" s="26"/>
      <c r="D12" s="26"/>
      <c r="E12" s="26"/>
      <c r="F12" s="27">
        <f>163.04</f>
        <v>163.04</v>
      </c>
      <c r="G12" s="26"/>
      <c r="H12" s="27">
        <f t="shared" si="0"/>
        <v>163.04</v>
      </c>
    </row>
    <row r="13" spans="1:8" x14ac:dyDescent="0.25">
      <c r="A13" s="25" t="s">
        <v>128</v>
      </c>
      <c r="B13" s="26"/>
      <c r="C13" s="26"/>
      <c r="D13" s="26"/>
      <c r="E13" s="26"/>
      <c r="F13" s="27">
        <f>56.67</f>
        <v>56.67</v>
      </c>
      <c r="G13" s="27">
        <f>346.33</f>
        <v>346.33</v>
      </c>
      <c r="H13" s="27">
        <f t="shared" si="0"/>
        <v>403</v>
      </c>
    </row>
    <row r="14" spans="1:8" x14ac:dyDescent="0.25">
      <c r="A14" s="25" t="s">
        <v>33</v>
      </c>
      <c r="B14" s="26"/>
      <c r="C14" s="26"/>
      <c r="D14" s="26"/>
      <c r="E14" s="26"/>
      <c r="F14" s="26"/>
      <c r="G14" s="27">
        <f>1405</f>
        <v>1405</v>
      </c>
      <c r="H14" s="27">
        <f t="shared" si="0"/>
        <v>1405</v>
      </c>
    </row>
    <row r="15" spans="1:8" x14ac:dyDescent="0.25">
      <c r="A15" s="25" t="s">
        <v>129</v>
      </c>
      <c r="B15" s="26"/>
      <c r="C15" s="26"/>
      <c r="D15" s="26"/>
      <c r="E15" s="26"/>
      <c r="F15" s="26"/>
      <c r="G15" s="27">
        <f>7707.5+8201</f>
        <v>15908.5</v>
      </c>
      <c r="H15" s="27">
        <f t="shared" si="0"/>
        <v>15908.5</v>
      </c>
    </row>
    <row r="16" spans="1:8" x14ac:dyDescent="0.25">
      <c r="A16" s="25" t="s">
        <v>34</v>
      </c>
      <c r="B16" s="28">
        <f>+B11+B12+B13+B14+B15</f>
        <v>0</v>
      </c>
      <c r="C16" s="28">
        <f t="shared" ref="C16:G16" si="2">+C11+C12+C13+C14+C15</f>
        <v>0</v>
      </c>
      <c r="D16" s="28">
        <f t="shared" si="2"/>
        <v>487.68</v>
      </c>
      <c r="E16" s="28">
        <f t="shared" si="2"/>
        <v>0</v>
      </c>
      <c r="F16" s="28">
        <f t="shared" si="2"/>
        <v>219.70999999999998</v>
      </c>
      <c r="G16" s="28">
        <f t="shared" si="2"/>
        <v>20809.830000000002</v>
      </c>
      <c r="H16" s="28">
        <f t="shared" si="0"/>
        <v>21517.22</v>
      </c>
    </row>
    <row r="17" spans="1:8" x14ac:dyDescent="0.25">
      <c r="A17" s="25" t="s">
        <v>35</v>
      </c>
      <c r="B17" s="28">
        <f>+B11+B12+B13+B14+B15</f>
        <v>0</v>
      </c>
      <c r="C17" s="28">
        <f t="shared" ref="C17:G17" si="3">+C11+C12+C13+C14+C15</f>
        <v>0</v>
      </c>
      <c r="D17" s="28">
        <f t="shared" si="3"/>
        <v>487.68</v>
      </c>
      <c r="E17" s="28">
        <f t="shared" si="3"/>
        <v>0</v>
      </c>
      <c r="F17" s="28">
        <f t="shared" si="3"/>
        <v>219.70999999999998</v>
      </c>
      <c r="G17" s="28">
        <f t="shared" si="3"/>
        <v>20809.830000000002</v>
      </c>
      <c r="H17" s="28">
        <f t="shared" si="0"/>
        <v>21517.22</v>
      </c>
    </row>
    <row r="18" spans="1:8" x14ac:dyDescent="0.25">
      <c r="A18" s="25" t="s">
        <v>36</v>
      </c>
      <c r="B18" s="28">
        <f t="shared" ref="B18:C18" si="4">((((((B9)+(B13))+(B14)))+(B15))+(B16))+(B17)</f>
        <v>0</v>
      </c>
      <c r="C18" s="28">
        <f t="shared" si="4"/>
        <v>0</v>
      </c>
      <c r="D18" s="28">
        <f>-D17</f>
        <v>-487.68</v>
      </c>
      <c r="E18" s="28">
        <f t="shared" ref="E18:G18" si="5">-E17</f>
        <v>0</v>
      </c>
      <c r="F18" s="28">
        <f t="shared" si="5"/>
        <v>-219.70999999999998</v>
      </c>
      <c r="G18" s="28">
        <f t="shared" si="5"/>
        <v>-20809.830000000002</v>
      </c>
      <c r="H18" s="28">
        <f t="shared" si="0"/>
        <v>-21517.22</v>
      </c>
    </row>
    <row r="19" spans="1:8" x14ac:dyDescent="0.25">
      <c r="A19" s="25"/>
      <c r="B19" s="26"/>
      <c r="C19" s="26"/>
      <c r="D19" s="26"/>
      <c r="E19" s="26"/>
      <c r="F19" s="26"/>
      <c r="G19" s="26"/>
      <c r="H19" s="26"/>
    </row>
    <row r="22" spans="1:8" x14ac:dyDescent="0.25">
      <c r="A22" s="29" t="s">
        <v>130</v>
      </c>
      <c r="B22" s="2"/>
      <c r="C22" s="2"/>
      <c r="D22" s="2"/>
      <c r="E22" s="2"/>
      <c r="F22" s="2"/>
      <c r="G22" s="2"/>
      <c r="H22" s="2"/>
    </row>
  </sheetData>
  <mergeCells count="4">
    <mergeCell ref="A1:H1"/>
    <mergeCell ref="A2:H2"/>
    <mergeCell ref="A3:H3"/>
    <mergeCell ref="A22:H2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E907B-A727-45F7-BB38-11F8F2138C1C}">
  <dimension ref="A1:H19"/>
  <sheetViews>
    <sheetView workbookViewId="0">
      <selection activeCell="J14" sqref="J14"/>
    </sheetView>
  </sheetViews>
  <sheetFormatPr defaultRowHeight="15" x14ac:dyDescent="0.25"/>
  <cols>
    <col min="1" max="1" width="26.5703125" customWidth="1"/>
    <col min="2" max="2" width="8.5703125" customWidth="1"/>
    <col min="3" max="3" width="7.7109375" customWidth="1"/>
    <col min="4" max="4" width="8.5703125" customWidth="1"/>
    <col min="5" max="7" width="7.710937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131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18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19</v>
      </c>
      <c r="B7" s="26"/>
      <c r="C7" s="26"/>
      <c r="D7" s="26"/>
      <c r="E7" s="26"/>
      <c r="F7" s="26"/>
      <c r="G7" s="26"/>
      <c r="H7" s="27">
        <f t="shared" ref="H7:H15" si="0">(((((B7)+(C7))+(D7))+(E7))+(F7))+(G7)</f>
        <v>0</v>
      </c>
    </row>
    <row r="8" spans="1:8" x14ac:dyDescent="0.25">
      <c r="A8" s="25" t="s">
        <v>24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50</v>
      </c>
      <c r="B9" s="27">
        <f>239.85</f>
        <v>239.85</v>
      </c>
      <c r="C9" s="26"/>
      <c r="D9" s="26"/>
      <c r="E9" s="26"/>
      <c r="F9" s="26"/>
      <c r="G9" s="26"/>
      <c r="H9" s="27">
        <f t="shared" si="0"/>
        <v>239.85</v>
      </c>
    </row>
    <row r="10" spans="1:8" x14ac:dyDescent="0.25">
      <c r="A10" s="25" t="s">
        <v>25</v>
      </c>
      <c r="B10" s="26"/>
      <c r="C10" s="26"/>
      <c r="D10" s="27">
        <f>877.5</f>
        <v>877.5</v>
      </c>
      <c r="E10" s="26"/>
      <c r="F10" s="26"/>
      <c r="G10" s="26"/>
      <c r="H10" s="27">
        <f t="shared" si="0"/>
        <v>877.5</v>
      </c>
    </row>
    <row r="11" spans="1:8" x14ac:dyDescent="0.25">
      <c r="A11" s="25" t="s">
        <v>26</v>
      </c>
      <c r="B11" s="28">
        <f t="shared" ref="B11:G11" si="1">((B8)+(B9))+(B10)</f>
        <v>239.85</v>
      </c>
      <c r="C11" s="28">
        <f t="shared" si="1"/>
        <v>0</v>
      </c>
      <c r="D11" s="28">
        <f t="shared" si="1"/>
        <v>877.5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0"/>
        <v>1117.3499999999999</v>
      </c>
    </row>
    <row r="12" spans="1:8" x14ac:dyDescent="0.25">
      <c r="A12" s="25" t="s">
        <v>27</v>
      </c>
      <c r="B12" s="26"/>
      <c r="C12" s="26"/>
      <c r="D12" s="26"/>
      <c r="E12" s="26"/>
      <c r="F12" s="27">
        <f>32.73</f>
        <v>32.729999999999997</v>
      </c>
      <c r="G12" s="26"/>
      <c r="H12" s="27">
        <f t="shared" si="0"/>
        <v>32.729999999999997</v>
      </c>
    </row>
    <row r="13" spans="1:8" x14ac:dyDescent="0.25">
      <c r="A13" s="25" t="s">
        <v>34</v>
      </c>
      <c r="B13" s="28">
        <f t="shared" ref="B13:G13" si="2">((B7)+(B11))+(B12)</f>
        <v>239.85</v>
      </c>
      <c r="C13" s="28">
        <f t="shared" si="2"/>
        <v>0</v>
      </c>
      <c r="D13" s="28">
        <f t="shared" si="2"/>
        <v>877.5</v>
      </c>
      <c r="E13" s="28">
        <f t="shared" si="2"/>
        <v>0</v>
      </c>
      <c r="F13" s="28">
        <f t="shared" si="2"/>
        <v>32.729999999999997</v>
      </c>
      <c r="G13" s="28">
        <f t="shared" si="2"/>
        <v>0</v>
      </c>
      <c r="H13" s="28">
        <f t="shared" si="0"/>
        <v>1150.08</v>
      </c>
    </row>
    <row r="14" spans="1:8" x14ac:dyDescent="0.25">
      <c r="A14" s="25" t="s">
        <v>35</v>
      </c>
      <c r="B14" s="28">
        <f t="shared" ref="B14:G14" si="3">B13</f>
        <v>239.85</v>
      </c>
      <c r="C14" s="28">
        <f t="shared" si="3"/>
        <v>0</v>
      </c>
      <c r="D14" s="28">
        <f t="shared" si="3"/>
        <v>877.5</v>
      </c>
      <c r="E14" s="28">
        <f t="shared" si="3"/>
        <v>0</v>
      </c>
      <c r="F14" s="28">
        <f t="shared" si="3"/>
        <v>32.729999999999997</v>
      </c>
      <c r="G14" s="28">
        <f t="shared" si="3"/>
        <v>0</v>
      </c>
      <c r="H14" s="28">
        <f t="shared" si="0"/>
        <v>1150.08</v>
      </c>
    </row>
    <row r="15" spans="1:8" x14ac:dyDescent="0.25">
      <c r="A15" s="25" t="s">
        <v>36</v>
      </c>
      <c r="B15" s="28">
        <f t="shared" ref="B15:G15" si="4">(((0)-(B14))+(0))-(0)</f>
        <v>-239.85</v>
      </c>
      <c r="C15" s="28">
        <f t="shared" si="4"/>
        <v>0</v>
      </c>
      <c r="D15" s="28">
        <f t="shared" si="4"/>
        <v>-877.5</v>
      </c>
      <c r="E15" s="28">
        <f t="shared" si="4"/>
        <v>0</v>
      </c>
      <c r="F15" s="28">
        <f t="shared" si="4"/>
        <v>-32.729999999999997</v>
      </c>
      <c r="G15" s="28">
        <f t="shared" si="4"/>
        <v>0</v>
      </c>
      <c r="H15" s="28">
        <f t="shared" si="0"/>
        <v>-1150.08</v>
      </c>
    </row>
    <row r="16" spans="1:8" x14ac:dyDescent="0.25">
      <c r="A16" s="25"/>
      <c r="B16" s="26"/>
      <c r="C16" s="26"/>
      <c r="D16" s="26"/>
      <c r="E16" s="26"/>
      <c r="F16" s="26"/>
      <c r="G16" s="26"/>
      <c r="H16" s="26"/>
    </row>
    <row r="19" spans="1:8" x14ac:dyDescent="0.25">
      <c r="A19" s="29" t="s">
        <v>132</v>
      </c>
      <c r="B19" s="2"/>
      <c r="C19" s="2"/>
      <c r="D19" s="2"/>
      <c r="E19" s="2"/>
      <c r="F19" s="2"/>
      <c r="G19" s="2"/>
      <c r="H19" s="2"/>
    </row>
  </sheetData>
  <mergeCells count="4">
    <mergeCell ref="A1:H1"/>
    <mergeCell ref="A2:H2"/>
    <mergeCell ref="A3:H3"/>
    <mergeCell ref="A19:H1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84A7D-B042-4503-84A1-8BBFE7411B54}">
  <dimension ref="A1:H47"/>
  <sheetViews>
    <sheetView workbookViewId="0">
      <selection activeCell="J13" sqref="J13"/>
    </sheetView>
  </sheetViews>
  <sheetFormatPr defaultRowHeight="15" x14ac:dyDescent="0.25"/>
  <cols>
    <col min="1" max="1" width="30.140625" customWidth="1"/>
    <col min="2" max="5" width="8.5703125" customWidth="1"/>
    <col min="6" max="6" width="10.28515625" customWidth="1"/>
    <col min="7" max="7" width="8.570312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133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22" si="0">(((((B7)+(C7))+(D7))+(E7))+(F7))+(G7)</f>
        <v>0</v>
      </c>
    </row>
    <row r="8" spans="1:8" x14ac:dyDescent="0.25">
      <c r="A8" s="25" t="s">
        <v>134</v>
      </c>
      <c r="B8" s="26"/>
      <c r="C8" s="26"/>
      <c r="D8" s="27">
        <f>254.04</f>
        <v>254.04</v>
      </c>
      <c r="E8" s="26"/>
      <c r="F8" s="26"/>
      <c r="G8" s="26"/>
      <c r="H8" s="27">
        <f t="shared" si="0"/>
        <v>254.04</v>
      </c>
    </row>
    <row r="9" spans="1:8" x14ac:dyDescent="0.25">
      <c r="A9" s="25" t="s">
        <v>12</v>
      </c>
      <c r="B9" s="26"/>
      <c r="C9" s="26"/>
      <c r="D9" s="26"/>
      <c r="E9" s="26"/>
      <c r="F9" s="26"/>
      <c r="G9" s="26"/>
      <c r="H9" s="27">
        <f t="shared" si="0"/>
        <v>0</v>
      </c>
    </row>
    <row r="10" spans="1:8" x14ac:dyDescent="0.25">
      <c r="A10" s="25" t="s">
        <v>135</v>
      </c>
      <c r="B10" s="27">
        <f>209.45</f>
        <v>209.45</v>
      </c>
      <c r="C10" s="27">
        <f>43.99</f>
        <v>43.99</v>
      </c>
      <c r="D10" s="26"/>
      <c r="E10" s="27">
        <f>802.85</f>
        <v>802.85</v>
      </c>
      <c r="F10" s="27">
        <f>198.64</f>
        <v>198.64</v>
      </c>
      <c r="G10" s="27">
        <f>-204.05</f>
        <v>-204.05</v>
      </c>
      <c r="H10" s="27">
        <f t="shared" si="0"/>
        <v>1050.8799999999999</v>
      </c>
    </row>
    <row r="11" spans="1:8" x14ac:dyDescent="0.25">
      <c r="A11" s="25" t="s">
        <v>136</v>
      </c>
      <c r="B11" s="27">
        <f>320.57</f>
        <v>320.57</v>
      </c>
      <c r="C11" s="27">
        <f>170.51</f>
        <v>170.51</v>
      </c>
      <c r="D11" s="27">
        <f>379.16</f>
        <v>379.16</v>
      </c>
      <c r="E11" s="27">
        <f>169.71</f>
        <v>169.71</v>
      </c>
      <c r="F11" s="27">
        <f>280.21</f>
        <v>280.20999999999998</v>
      </c>
      <c r="G11" s="27">
        <f>304.44</f>
        <v>304.44</v>
      </c>
      <c r="H11" s="27">
        <f t="shared" si="0"/>
        <v>1624.6000000000001</v>
      </c>
    </row>
    <row r="12" spans="1:8" x14ac:dyDescent="0.25">
      <c r="A12" s="25" t="s">
        <v>13</v>
      </c>
      <c r="B12" s="27">
        <f>2269.6</f>
        <v>2269.6</v>
      </c>
      <c r="C12" s="26"/>
      <c r="D12" s="27">
        <f>3450.53</f>
        <v>3450.53</v>
      </c>
      <c r="E12" s="27">
        <f>4292.45</f>
        <v>4292.45</v>
      </c>
      <c r="F12" s="27">
        <f>0</f>
        <v>0</v>
      </c>
      <c r="G12" s="27">
        <f>3392.85</f>
        <v>3392.85</v>
      </c>
      <c r="H12" s="27">
        <f t="shared" si="0"/>
        <v>13405.43</v>
      </c>
    </row>
    <row r="13" spans="1:8" x14ac:dyDescent="0.25">
      <c r="A13" s="25" t="s">
        <v>14</v>
      </c>
      <c r="B13" s="28">
        <f t="shared" ref="B13:G13" si="1">(((B9)+(B10))+(B11))+(B12)</f>
        <v>2799.62</v>
      </c>
      <c r="C13" s="28">
        <f t="shared" si="1"/>
        <v>214.5</v>
      </c>
      <c r="D13" s="28">
        <f t="shared" si="1"/>
        <v>3829.69</v>
      </c>
      <c r="E13" s="28">
        <f t="shared" si="1"/>
        <v>5265.01</v>
      </c>
      <c r="F13" s="28">
        <f t="shared" si="1"/>
        <v>478.84999999999997</v>
      </c>
      <c r="G13" s="28">
        <f t="shared" si="1"/>
        <v>3493.24</v>
      </c>
      <c r="H13" s="28">
        <f t="shared" si="0"/>
        <v>16080.91</v>
      </c>
    </row>
    <row r="14" spans="1:8" x14ac:dyDescent="0.25">
      <c r="A14" s="25" t="s">
        <v>15</v>
      </c>
      <c r="B14" s="28">
        <f t="shared" ref="B14:G14" si="2">((B7)+(B8))+(B13)</f>
        <v>2799.62</v>
      </c>
      <c r="C14" s="28">
        <f t="shared" si="2"/>
        <v>214.5</v>
      </c>
      <c r="D14" s="28">
        <f t="shared" si="2"/>
        <v>4083.73</v>
      </c>
      <c r="E14" s="28">
        <f t="shared" si="2"/>
        <v>5265.01</v>
      </c>
      <c r="F14" s="28">
        <f t="shared" si="2"/>
        <v>478.84999999999997</v>
      </c>
      <c r="G14" s="28">
        <f t="shared" si="2"/>
        <v>3493.24</v>
      </c>
      <c r="H14" s="28">
        <f t="shared" si="0"/>
        <v>16334.95</v>
      </c>
    </row>
    <row r="15" spans="1:8" x14ac:dyDescent="0.25">
      <c r="A15" s="25" t="s">
        <v>39</v>
      </c>
      <c r="B15" s="26"/>
      <c r="C15" s="26"/>
      <c r="D15" s="26"/>
      <c r="E15" s="26"/>
      <c r="F15" s="26"/>
      <c r="G15" s="26"/>
      <c r="H15" s="27">
        <f t="shared" si="0"/>
        <v>0</v>
      </c>
    </row>
    <row r="16" spans="1:8" x14ac:dyDescent="0.25">
      <c r="A16" s="25" t="s">
        <v>137</v>
      </c>
      <c r="B16" s="26"/>
      <c r="C16" s="26"/>
      <c r="D16" s="27">
        <f>-12.7</f>
        <v>-12.7</v>
      </c>
      <c r="E16" s="26"/>
      <c r="F16" s="26"/>
      <c r="G16" s="26"/>
      <c r="H16" s="27">
        <f t="shared" si="0"/>
        <v>-12.7</v>
      </c>
    </row>
    <row r="17" spans="1:8" x14ac:dyDescent="0.25">
      <c r="A17" s="25" t="s">
        <v>138</v>
      </c>
      <c r="B17" s="26"/>
      <c r="C17" s="26"/>
      <c r="D17" s="27">
        <f>-33.85</f>
        <v>-33.85</v>
      </c>
      <c r="E17" s="26"/>
      <c r="F17" s="26"/>
      <c r="G17" s="26"/>
      <c r="H17" s="27">
        <f t="shared" si="0"/>
        <v>-33.85</v>
      </c>
    </row>
    <row r="18" spans="1:8" x14ac:dyDescent="0.25">
      <c r="A18" s="25" t="s">
        <v>139</v>
      </c>
      <c r="B18" s="27">
        <f>-66.25</f>
        <v>-66.25</v>
      </c>
      <c r="C18" s="27">
        <f>-24.88</f>
        <v>-24.88</v>
      </c>
      <c r="D18" s="27">
        <f>-147.14</f>
        <v>-147.13999999999999</v>
      </c>
      <c r="E18" s="27">
        <f>-332.99</f>
        <v>-332.99</v>
      </c>
      <c r="F18" s="27">
        <f>-449.91</f>
        <v>-449.91</v>
      </c>
      <c r="G18" s="27">
        <f>-298.41</f>
        <v>-298.41000000000003</v>
      </c>
      <c r="H18" s="27">
        <f t="shared" si="0"/>
        <v>-1319.5800000000002</v>
      </c>
    </row>
    <row r="19" spans="1:8" x14ac:dyDescent="0.25">
      <c r="A19" s="25" t="s">
        <v>40</v>
      </c>
      <c r="B19" s="27">
        <f>-192.1</f>
        <v>-192.1</v>
      </c>
      <c r="C19" s="27">
        <f>-27.44</f>
        <v>-27.44</v>
      </c>
      <c r="D19" s="27">
        <f>-227.57</f>
        <v>-227.57</v>
      </c>
      <c r="E19" s="27">
        <f>-311.28</f>
        <v>-311.27999999999997</v>
      </c>
      <c r="F19" s="27">
        <f>-333.13</f>
        <v>-333.13</v>
      </c>
      <c r="G19" s="27">
        <f>-192.2</f>
        <v>-192.2</v>
      </c>
      <c r="H19" s="27">
        <f t="shared" si="0"/>
        <v>-1283.72</v>
      </c>
    </row>
    <row r="20" spans="1:8" x14ac:dyDescent="0.25">
      <c r="A20" s="25" t="s">
        <v>41</v>
      </c>
      <c r="B20" s="28">
        <f t="shared" ref="B20:G20" si="3">((((B15)+(B16))+(B17))+(B18))+(B19)</f>
        <v>-258.35000000000002</v>
      </c>
      <c r="C20" s="28">
        <f t="shared" si="3"/>
        <v>-52.32</v>
      </c>
      <c r="D20" s="28">
        <f t="shared" si="3"/>
        <v>-421.26</v>
      </c>
      <c r="E20" s="28">
        <f t="shared" si="3"/>
        <v>-644.27</v>
      </c>
      <c r="F20" s="28">
        <f t="shared" si="3"/>
        <v>-783.04</v>
      </c>
      <c r="G20" s="28">
        <f t="shared" si="3"/>
        <v>-490.61</v>
      </c>
      <c r="H20" s="28">
        <f t="shared" si="0"/>
        <v>-2649.85</v>
      </c>
    </row>
    <row r="21" spans="1:8" x14ac:dyDescent="0.25">
      <c r="A21" s="25" t="s">
        <v>16</v>
      </c>
      <c r="B21" s="28">
        <f t="shared" ref="B21:G21" si="4">(B14)+(B20)</f>
        <v>2541.27</v>
      </c>
      <c r="C21" s="28">
        <f t="shared" si="4"/>
        <v>162.18</v>
      </c>
      <c r="D21" s="28">
        <f t="shared" si="4"/>
        <v>3662.4700000000003</v>
      </c>
      <c r="E21" s="28">
        <f t="shared" si="4"/>
        <v>4620.74</v>
      </c>
      <c r="F21" s="28">
        <f t="shared" si="4"/>
        <v>-304.19</v>
      </c>
      <c r="G21" s="28">
        <f t="shared" si="4"/>
        <v>3002.6299999999997</v>
      </c>
      <c r="H21" s="28">
        <f t="shared" si="0"/>
        <v>13685.099999999999</v>
      </c>
    </row>
    <row r="22" spans="1:8" x14ac:dyDescent="0.25">
      <c r="A22" s="25" t="s">
        <v>17</v>
      </c>
      <c r="B22" s="28">
        <f t="shared" ref="B22:G22" si="5">(B21)-(0)</f>
        <v>2541.27</v>
      </c>
      <c r="C22" s="28">
        <f t="shared" si="5"/>
        <v>162.18</v>
      </c>
      <c r="D22" s="28">
        <f t="shared" si="5"/>
        <v>3662.4700000000003</v>
      </c>
      <c r="E22" s="28">
        <f t="shared" si="5"/>
        <v>4620.74</v>
      </c>
      <c r="F22" s="28">
        <f t="shared" si="5"/>
        <v>-304.19</v>
      </c>
      <c r="G22" s="28">
        <f t="shared" si="5"/>
        <v>3002.6299999999997</v>
      </c>
      <c r="H22" s="28">
        <f t="shared" si="0"/>
        <v>13685.099999999999</v>
      </c>
    </row>
    <row r="23" spans="1:8" x14ac:dyDescent="0.25">
      <c r="A23" s="25" t="s">
        <v>18</v>
      </c>
      <c r="B23" s="26"/>
      <c r="C23" s="26"/>
      <c r="D23" s="26"/>
      <c r="E23" s="26"/>
      <c r="F23" s="26"/>
      <c r="G23" s="26"/>
      <c r="H23" s="26"/>
    </row>
    <row r="24" spans="1:8" x14ac:dyDescent="0.25">
      <c r="A24" s="25" t="s">
        <v>19</v>
      </c>
      <c r="B24" s="26"/>
      <c r="C24" s="26"/>
      <c r="D24" s="27">
        <f>2150.04</f>
        <v>2150.04</v>
      </c>
      <c r="E24" s="26"/>
      <c r="F24" s="26"/>
      <c r="G24" s="26"/>
      <c r="H24" s="27">
        <f t="shared" ref="H24:H43" si="6">(((((B24)+(C24))+(D24))+(E24))+(F24))+(G24)</f>
        <v>2150.04</v>
      </c>
    </row>
    <row r="25" spans="1:8" x14ac:dyDescent="0.25">
      <c r="A25" s="25" t="s">
        <v>104</v>
      </c>
      <c r="B25" s="26"/>
      <c r="C25" s="26"/>
      <c r="D25" s="27">
        <f>653.4</f>
        <v>653.4</v>
      </c>
      <c r="E25" s="26"/>
      <c r="F25" s="26"/>
      <c r="G25" s="26"/>
      <c r="H25" s="27">
        <f t="shared" si="6"/>
        <v>653.4</v>
      </c>
    </row>
    <row r="26" spans="1:8" x14ac:dyDescent="0.25">
      <c r="A26" s="25" t="s">
        <v>140</v>
      </c>
      <c r="B26" s="27">
        <f>88.11</f>
        <v>88.11</v>
      </c>
      <c r="C26" s="27">
        <f>33.17</f>
        <v>33.17</v>
      </c>
      <c r="D26" s="26"/>
      <c r="E26" s="26"/>
      <c r="F26" s="26"/>
      <c r="G26" s="26"/>
      <c r="H26" s="27">
        <f t="shared" si="6"/>
        <v>121.28</v>
      </c>
    </row>
    <row r="27" spans="1:8" x14ac:dyDescent="0.25">
      <c r="A27" s="25" t="s">
        <v>21</v>
      </c>
      <c r="B27" s="27">
        <f>297</f>
        <v>297</v>
      </c>
      <c r="C27" s="27">
        <f>297</f>
        <v>297</v>
      </c>
      <c r="D27" s="27">
        <f>297</f>
        <v>297</v>
      </c>
      <c r="E27" s="27">
        <f>297</f>
        <v>297</v>
      </c>
      <c r="F27" s="27">
        <f>297</f>
        <v>297</v>
      </c>
      <c r="G27" s="27">
        <f>297</f>
        <v>297</v>
      </c>
      <c r="H27" s="27">
        <f t="shared" si="6"/>
        <v>1782</v>
      </c>
    </row>
    <row r="28" spans="1:8" x14ac:dyDescent="0.25">
      <c r="A28" s="25" t="s">
        <v>141</v>
      </c>
      <c r="B28" s="27">
        <f>172.34</f>
        <v>172.34</v>
      </c>
      <c r="C28" s="27">
        <f>64.74</f>
        <v>64.739999999999995</v>
      </c>
      <c r="D28" s="27">
        <f>235.74</f>
        <v>235.74</v>
      </c>
      <c r="E28" s="27">
        <f>82.13</f>
        <v>82.13</v>
      </c>
      <c r="F28" s="27">
        <f>180.68</f>
        <v>180.68</v>
      </c>
      <c r="G28" s="27">
        <f>164.26</f>
        <v>164.26</v>
      </c>
      <c r="H28" s="27">
        <f t="shared" si="6"/>
        <v>899.8900000000001</v>
      </c>
    </row>
    <row r="29" spans="1:8" x14ac:dyDescent="0.25">
      <c r="A29" s="25" t="s">
        <v>23</v>
      </c>
      <c r="B29" s="27">
        <f>84.15</f>
        <v>84.15</v>
      </c>
      <c r="C29" s="26"/>
      <c r="D29" s="26"/>
      <c r="E29" s="26"/>
      <c r="F29" s="26"/>
      <c r="G29" s="27">
        <f>210.37</f>
        <v>210.37</v>
      </c>
      <c r="H29" s="27">
        <f t="shared" si="6"/>
        <v>294.52</v>
      </c>
    </row>
    <row r="30" spans="1:8" x14ac:dyDescent="0.25">
      <c r="A30" s="25" t="s">
        <v>48</v>
      </c>
      <c r="B30" s="26"/>
      <c r="C30" s="26"/>
      <c r="D30" s="26"/>
      <c r="E30" s="26"/>
      <c r="F30" s="27">
        <f>236.1</f>
        <v>236.1</v>
      </c>
      <c r="G30" s="26"/>
      <c r="H30" s="27">
        <f t="shared" si="6"/>
        <v>236.1</v>
      </c>
    </row>
    <row r="31" spans="1:8" x14ac:dyDescent="0.25">
      <c r="A31" s="25" t="s">
        <v>24</v>
      </c>
      <c r="B31" s="26"/>
      <c r="C31" s="26"/>
      <c r="D31" s="26"/>
      <c r="E31" s="26"/>
      <c r="F31" s="26"/>
      <c r="G31" s="26"/>
      <c r="H31" s="27">
        <f t="shared" si="6"/>
        <v>0</v>
      </c>
    </row>
    <row r="32" spans="1:8" x14ac:dyDescent="0.25">
      <c r="A32" s="25" t="s">
        <v>94</v>
      </c>
      <c r="B32" s="26"/>
      <c r="C32" s="26"/>
      <c r="D32" s="27">
        <f>224</f>
        <v>224</v>
      </c>
      <c r="E32" s="26"/>
      <c r="F32" s="26"/>
      <c r="G32" s="26"/>
      <c r="H32" s="27">
        <f t="shared" si="6"/>
        <v>224</v>
      </c>
    </row>
    <row r="33" spans="1:8" x14ac:dyDescent="0.25">
      <c r="A33" s="25" t="s">
        <v>26</v>
      </c>
      <c r="B33" s="28">
        <f t="shared" ref="B33:G33" si="7">(B31)+(B32)</f>
        <v>0</v>
      </c>
      <c r="C33" s="28">
        <f t="shared" si="7"/>
        <v>0</v>
      </c>
      <c r="D33" s="28">
        <f t="shared" si="7"/>
        <v>224</v>
      </c>
      <c r="E33" s="28">
        <f t="shared" si="7"/>
        <v>0</v>
      </c>
      <c r="F33" s="28">
        <f t="shared" si="7"/>
        <v>0</v>
      </c>
      <c r="G33" s="28">
        <f t="shared" si="7"/>
        <v>0</v>
      </c>
      <c r="H33" s="28">
        <f t="shared" si="6"/>
        <v>224</v>
      </c>
    </row>
    <row r="34" spans="1:8" x14ac:dyDescent="0.25">
      <c r="A34" s="25" t="s">
        <v>27</v>
      </c>
      <c r="B34" s="26"/>
      <c r="C34" s="26"/>
      <c r="D34" s="27">
        <f>28.08</f>
        <v>28.08</v>
      </c>
      <c r="E34" s="26"/>
      <c r="F34" s="27">
        <f>89.67</f>
        <v>89.67</v>
      </c>
      <c r="G34" s="26"/>
      <c r="H34" s="27">
        <f t="shared" si="6"/>
        <v>117.75</v>
      </c>
    </row>
    <row r="35" spans="1:8" x14ac:dyDescent="0.25">
      <c r="A35" s="25" t="s">
        <v>142</v>
      </c>
      <c r="B35" s="27">
        <f t="shared" ref="B35:G35" si="8">123.75</f>
        <v>123.75</v>
      </c>
      <c r="C35" s="27">
        <f t="shared" si="8"/>
        <v>123.75</v>
      </c>
      <c r="D35" s="27">
        <f t="shared" si="8"/>
        <v>123.75</v>
      </c>
      <c r="E35" s="27">
        <f t="shared" si="8"/>
        <v>123.75</v>
      </c>
      <c r="F35" s="27">
        <f t="shared" si="8"/>
        <v>123.75</v>
      </c>
      <c r="G35" s="27">
        <f t="shared" si="8"/>
        <v>123.75</v>
      </c>
      <c r="H35" s="27">
        <f t="shared" si="6"/>
        <v>742.5</v>
      </c>
    </row>
    <row r="36" spans="1:8" x14ac:dyDescent="0.25">
      <c r="A36" s="25" t="s">
        <v>28</v>
      </c>
      <c r="B36" s="27">
        <f>83.56</f>
        <v>83.56</v>
      </c>
      <c r="C36" s="27">
        <f>11.48</f>
        <v>11.48</v>
      </c>
      <c r="D36" s="27">
        <f>119.2</f>
        <v>119.2</v>
      </c>
      <c r="E36" s="27">
        <f>139</f>
        <v>139</v>
      </c>
      <c r="F36" s="27">
        <f>0.73</f>
        <v>0.73</v>
      </c>
      <c r="G36" s="27">
        <f>131.87</f>
        <v>131.87</v>
      </c>
      <c r="H36" s="27">
        <f t="shared" si="6"/>
        <v>485.84000000000003</v>
      </c>
    </row>
    <row r="37" spans="1:8" x14ac:dyDescent="0.25">
      <c r="A37" s="25" t="s">
        <v>30</v>
      </c>
      <c r="B37" s="27">
        <f>9.9</f>
        <v>9.9</v>
      </c>
      <c r="C37" s="27">
        <f>9.9</f>
        <v>9.9</v>
      </c>
      <c r="D37" s="27">
        <f>104.91</f>
        <v>104.91</v>
      </c>
      <c r="E37" s="27">
        <f>9.9</f>
        <v>9.9</v>
      </c>
      <c r="F37" s="27">
        <f>9.9</f>
        <v>9.9</v>
      </c>
      <c r="G37" s="26"/>
      <c r="H37" s="27">
        <f t="shared" si="6"/>
        <v>144.51</v>
      </c>
    </row>
    <row r="38" spans="1:8" x14ac:dyDescent="0.25">
      <c r="A38" s="25" t="s">
        <v>32</v>
      </c>
      <c r="B38" s="27">
        <f>0.5</f>
        <v>0.5</v>
      </c>
      <c r="C38" s="27">
        <f>0.87</f>
        <v>0.87</v>
      </c>
      <c r="D38" s="26"/>
      <c r="E38" s="27">
        <f>0.85</f>
        <v>0.85</v>
      </c>
      <c r="F38" s="26"/>
      <c r="G38" s="27">
        <f>4.87</f>
        <v>4.87</v>
      </c>
      <c r="H38" s="27">
        <f t="shared" si="6"/>
        <v>7.09</v>
      </c>
    </row>
    <row r="39" spans="1:8" x14ac:dyDescent="0.25">
      <c r="A39" s="25" t="s">
        <v>33</v>
      </c>
      <c r="B39" s="27">
        <f>419.67</f>
        <v>419.67</v>
      </c>
      <c r="C39" s="27">
        <f>188.22</f>
        <v>188.22</v>
      </c>
      <c r="D39" s="27">
        <f>259.87</f>
        <v>259.87</v>
      </c>
      <c r="E39" s="27">
        <f>489.97</f>
        <v>489.97</v>
      </c>
      <c r="F39" s="27">
        <f>83.05</f>
        <v>83.05</v>
      </c>
      <c r="G39" s="27">
        <f>305.97</f>
        <v>305.97000000000003</v>
      </c>
      <c r="H39" s="27">
        <f t="shared" si="6"/>
        <v>1746.75</v>
      </c>
    </row>
    <row r="40" spans="1:8" x14ac:dyDescent="0.25">
      <c r="A40" s="25" t="s">
        <v>143</v>
      </c>
      <c r="B40" s="27">
        <f>31.88</f>
        <v>31.88</v>
      </c>
      <c r="C40" s="27">
        <f>6.98</f>
        <v>6.98</v>
      </c>
      <c r="D40" s="27">
        <f>43.69</f>
        <v>43.69</v>
      </c>
      <c r="E40" s="27">
        <f>52.53</f>
        <v>52.53</v>
      </c>
      <c r="F40" s="27">
        <f>2.91</f>
        <v>2.91</v>
      </c>
      <c r="G40" s="27">
        <f>47.63</f>
        <v>47.63</v>
      </c>
      <c r="H40" s="27">
        <f t="shared" si="6"/>
        <v>185.61999999999998</v>
      </c>
    </row>
    <row r="41" spans="1:8" x14ac:dyDescent="0.25">
      <c r="A41" s="25" t="s">
        <v>34</v>
      </c>
      <c r="B41" s="28">
        <f t="shared" ref="B41:G41" si="9">((((((((((((((B24)+(B25))+(B26))+(B27))+(B28))+(B29))+(B30))+(B33))+(B34))+(B35))+(B36))+(B37))+(B38))+(B39))+(B40)</f>
        <v>1310.8600000000001</v>
      </c>
      <c r="C41" s="28">
        <f t="shared" si="9"/>
        <v>736.11000000000013</v>
      </c>
      <c r="D41" s="28">
        <f t="shared" si="9"/>
        <v>4239.6799999999994</v>
      </c>
      <c r="E41" s="28">
        <f t="shared" si="9"/>
        <v>1195.1299999999999</v>
      </c>
      <c r="F41" s="28">
        <f t="shared" si="9"/>
        <v>1023.7899999999998</v>
      </c>
      <c r="G41" s="28">
        <f t="shared" si="9"/>
        <v>1285.7200000000003</v>
      </c>
      <c r="H41" s="28">
        <f t="shared" si="6"/>
        <v>9791.2900000000009</v>
      </c>
    </row>
    <row r="42" spans="1:8" x14ac:dyDescent="0.25">
      <c r="A42" s="25" t="s">
        <v>35</v>
      </c>
      <c r="B42" s="28">
        <f t="shared" ref="B42:G42" si="10">B41</f>
        <v>1310.8600000000001</v>
      </c>
      <c r="C42" s="28">
        <f t="shared" si="10"/>
        <v>736.11000000000013</v>
      </c>
      <c r="D42" s="28">
        <f t="shared" si="10"/>
        <v>4239.6799999999994</v>
      </c>
      <c r="E42" s="28">
        <f t="shared" si="10"/>
        <v>1195.1299999999999</v>
      </c>
      <c r="F42" s="28">
        <f t="shared" si="10"/>
        <v>1023.7899999999998</v>
      </c>
      <c r="G42" s="28">
        <f t="shared" si="10"/>
        <v>1285.7200000000003</v>
      </c>
      <c r="H42" s="28">
        <f t="shared" si="6"/>
        <v>9791.2900000000009</v>
      </c>
    </row>
    <row r="43" spans="1:8" x14ac:dyDescent="0.25">
      <c r="A43" s="25" t="s">
        <v>36</v>
      </c>
      <c r="B43" s="28">
        <f t="shared" ref="B43:G43" si="11">(((B22)-(B42))+(0))-(0)</f>
        <v>1230.4099999999999</v>
      </c>
      <c r="C43" s="28">
        <f t="shared" si="11"/>
        <v>-573.93000000000006</v>
      </c>
      <c r="D43" s="28">
        <f t="shared" si="11"/>
        <v>-577.20999999999913</v>
      </c>
      <c r="E43" s="28">
        <f t="shared" si="11"/>
        <v>3425.6099999999997</v>
      </c>
      <c r="F43" s="28">
        <f t="shared" si="11"/>
        <v>-1327.9799999999998</v>
      </c>
      <c r="G43" s="28">
        <f t="shared" si="11"/>
        <v>1716.9099999999994</v>
      </c>
      <c r="H43" s="28">
        <f t="shared" si="6"/>
        <v>3893.81</v>
      </c>
    </row>
    <row r="44" spans="1:8" x14ac:dyDescent="0.25">
      <c r="A44" s="25"/>
      <c r="B44" s="26"/>
      <c r="C44" s="26"/>
      <c r="D44" s="26"/>
      <c r="E44" s="26"/>
      <c r="F44" s="26"/>
      <c r="G44" s="26"/>
      <c r="H44" s="26"/>
    </row>
    <row r="47" spans="1:8" x14ac:dyDescent="0.25">
      <c r="A47" s="29" t="s">
        <v>144</v>
      </c>
      <c r="B47" s="2"/>
      <c r="C47" s="2"/>
      <c r="D47" s="2"/>
      <c r="E47" s="2"/>
      <c r="F47" s="2"/>
      <c r="G47" s="2"/>
      <c r="H47" s="2"/>
    </row>
  </sheetData>
  <mergeCells count="4">
    <mergeCell ref="A1:H1"/>
    <mergeCell ref="A2:H2"/>
    <mergeCell ref="A3:H3"/>
    <mergeCell ref="A47:H4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32371-D0D5-40F2-81E5-EC0F598FF2D4}">
  <dimension ref="A1:H39"/>
  <sheetViews>
    <sheetView topLeftCell="A7" workbookViewId="0">
      <selection activeCell="M11" sqref="M11"/>
    </sheetView>
  </sheetViews>
  <sheetFormatPr defaultRowHeight="15" x14ac:dyDescent="0.25"/>
  <cols>
    <col min="1" max="1" width="30.140625" customWidth="1"/>
    <col min="2" max="2" width="8.5703125" customWidth="1"/>
    <col min="3" max="3" width="10.28515625" customWidth="1"/>
    <col min="4" max="4" width="8.5703125" customWidth="1"/>
    <col min="5" max="5" width="10.28515625" customWidth="1"/>
    <col min="6" max="6" width="8.5703125" customWidth="1"/>
    <col min="7" max="7" width="10.28515625" customWidth="1"/>
    <col min="8" max="8" width="9.425781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145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8375.54</f>
        <v>8375.5400000000009</v>
      </c>
      <c r="C9" s="26"/>
      <c r="D9" s="27">
        <f>7480.13</f>
        <v>7480.13</v>
      </c>
      <c r="E9" s="26"/>
      <c r="F9" s="26"/>
      <c r="G9" s="26"/>
      <c r="H9" s="27">
        <f t="shared" si="0"/>
        <v>15855.670000000002</v>
      </c>
    </row>
    <row r="10" spans="1:8" x14ac:dyDescent="0.25">
      <c r="A10" s="25" t="s">
        <v>14</v>
      </c>
      <c r="B10" s="28">
        <f t="shared" ref="B10:G10" si="1">(B8)+(B9)</f>
        <v>8375.5400000000009</v>
      </c>
      <c r="C10" s="28">
        <f t="shared" si="1"/>
        <v>0</v>
      </c>
      <c r="D10" s="28">
        <f t="shared" si="1"/>
        <v>7480.13</v>
      </c>
      <c r="E10" s="28">
        <f t="shared" si="1"/>
        <v>0</v>
      </c>
      <c r="F10" s="28">
        <f t="shared" si="1"/>
        <v>0</v>
      </c>
      <c r="G10" s="28">
        <f t="shared" si="1"/>
        <v>0</v>
      </c>
      <c r="H10" s="28">
        <f t="shared" si="0"/>
        <v>15855.670000000002</v>
      </c>
    </row>
    <row r="11" spans="1:8" x14ac:dyDescent="0.25">
      <c r="A11" s="25" t="s">
        <v>15</v>
      </c>
      <c r="B11" s="28">
        <f t="shared" ref="B11:G11" si="2">(B7)+(B10)</f>
        <v>8375.5400000000009</v>
      </c>
      <c r="C11" s="28">
        <f t="shared" si="2"/>
        <v>0</v>
      </c>
      <c r="D11" s="28">
        <f t="shared" si="2"/>
        <v>7480.13</v>
      </c>
      <c r="E11" s="28">
        <f t="shared" si="2"/>
        <v>0</v>
      </c>
      <c r="F11" s="28">
        <f t="shared" si="2"/>
        <v>0</v>
      </c>
      <c r="G11" s="28">
        <f t="shared" si="2"/>
        <v>0</v>
      </c>
      <c r="H11" s="28">
        <f t="shared" si="0"/>
        <v>15855.670000000002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f>-228.93</f>
        <v>-228.93</v>
      </c>
      <c r="C13" s="27">
        <f>-132.08</f>
        <v>-132.08000000000001</v>
      </c>
      <c r="D13" s="27">
        <f>-239.33</f>
        <v>-239.33</v>
      </c>
      <c r="E13" s="27">
        <f>0</f>
        <v>0</v>
      </c>
      <c r="F13" s="27">
        <f>0</f>
        <v>0</v>
      </c>
      <c r="G13" s="27">
        <f>0</f>
        <v>0</v>
      </c>
      <c r="H13" s="27">
        <f t="shared" si="0"/>
        <v>-600.34</v>
      </c>
    </row>
    <row r="14" spans="1:8" x14ac:dyDescent="0.25">
      <c r="A14" s="25" t="s">
        <v>41</v>
      </c>
      <c r="B14" s="28">
        <f t="shared" ref="B14:G14" si="3">(B12)+(B13)</f>
        <v>-228.93</v>
      </c>
      <c r="C14" s="28">
        <f t="shared" si="3"/>
        <v>-132.08000000000001</v>
      </c>
      <c r="D14" s="28">
        <f t="shared" si="3"/>
        <v>-239.33</v>
      </c>
      <c r="E14" s="28">
        <f t="shared" si="3"/>
        <v>0</v>
      </c>
      <c r="F14" s="28">
        <f t="shared" si="3"/>
        <v>0</v>
      </c>
      <c r="G14" s="28">
        <f t="shared" si="3"/>
        <v>0</v>
      </c>
      <c r="H14" s="28">
        <f t="shared" si="0"/>
        <v>-600.34</v>
      </c>
    </row>
    <row r="15" spans="1:8" x14ac:dyDescent="0.25">
      <c r="A15" s="25" t="s">
        <v>16</v>
      </c>
      <c r="B15" s="28">
        <f t="shared" ref="B15:G15" si="4">(B11)+(B14)</f>
        <v>8146.6100000000006</v>
      </c>
      <c r="C15" s="28">
        <f t="shared" si="4"/>
        <v>-132.08000000000001</v>
      </c>
      <c r="D15" s="28">
        <f t="shared" si="4"/>
        <v>7240.8</v>
      </c>
      <c r="E15" s="28">
        <f t="shared" si="4"/>
        <v>0</v>
      </c>
      <c r="F15" s="28">
        <f t="shared" si="4"/>
        <v>0</v>
      </c>
      <c r="G15" s="28">
        <f t="shared" si="4"/>
        <v>0</v>
      </c>
      <c r="H15" s="28">
        <f t="shared" si="0"/>
        <v>15255.330000000002</v>
      </c>
    </row>
    <row r="16" spans="1:8" x14ac:dyDescent="0.25">
      <c r="A16" s="25" t="s">
        <v>17</v>
      </c>
      <c r="B16" s="28">
        <f t="shared" ref="B16:G16" si="5">(B15)-(0)</f>
        <v>8146.6100000000006</v>
      </c>
      <c r="C16" s="28">
        <f t="shared" si="5"/>
        <v>-132.08000000000001</v>
      </c>
      <c r="D16" s="28">
        <f t="shared" si="5"/>
        <v>7240.8</v>
      </c>
      <c r="E16" s="28">
        <f t="shared" si="5"/>
        <v>0</v>
      </c>
      <c r="F16" s="28">
        <f t="shared" si="5"/>
        <v>0</v>
      </c>
      <c r="G16" s="28">
        <f t="shared" si="5"/>
        <v>0</v>
      </c>
      <c r="H16" s="28">
        <f t="shared" si="0"/>
        <v>15255.330000000002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35" si="6">(((((B18)+(C18))+(D18))+(E18))+(F18))+(G18)</f>
        <v>0</v>
      </c>
    </row>
    <row r="19" spans="1:8" x14ac:dyDescent="0.25">
      <c r="A19" s="25" t="s">
        <v>21</v>
      </c>
      <c r="B19" s="27">
        <f>630</f>
        <v>630</v>
      </c>
      <c r="C19" s="27">
        <f>630</f>
        <v>630</v>
      </c>
      <c r="D19" s="27">
        <f>630</f>
        <v>630</v>
      </c>
      <c r="E19" s="27">
        <f>630</f>
        <v>630</v>
      </c>
      <c r="F19" s="27">
        <f>630</f>
        <v>630</v>
      </c>
      <c r="G19" s="27">
        <f>630</f>
        <v>630</v>
      </c>
      <c r="H19" s="27">
        <f t="shared" si="6"/>
        <v>3780</v>
      </c>
    </row>
    <row r="20" spans="1:8" x14ac:dyDescent="0.25">
      <c r="A20" s="25" t="s">
        <v>24</v>
      </c>
      <c r="B20" s="26"/>
      <c r="C20" s="26"/>
      <c r="D20" s="26"/>
      <c r="E20" s="26"/>
      <c r="F20" s="26"/>
      <c r="G20" s="26"/>
      <c r="H20" s="27">
        <f t="shared" si="6"/>
        <v>0</v>
      </c>
    </row>
    <row r="21" spans="1:8" x14ac:dyDescent="0.25">
      <c r="A21" s="25" t="s">
        <v>94</v>
      </c>
      <c r="B21" s="26"/>
      <c r="C21" s="26"/>
      <c r="D21" s="27">
        <f>224</f>
        <v>224</v>
      </c>
      <c r="E21" s="26"/>
      <c r="F21" s="26"/>
      <c r="G21" s="26"/>
      <c r="H21" s="27">
        <f t="shared" si="6"/>
        <v>224</v>
      </c>
    </row>
    <row r="22" spans="1:8" x14ac:dyDescent="0.25">
      <c r="A22" s="25" t="s">
        <v>50</v>
      </c>
      <c r="B22" s="27">
        <f>369</f>
        <v>369</v>
      </c>
      <c r="C22" s="26"/>
      <c r="D22" s="26"/>
      <c r="E22" s="26"/>
      <c r="F22" s="26"/>
      <c r="G22" s="26"/>
      <c r="H22" s="27">
        <f t="shared" si="6"/>
        <v>369</v>
      </c>
    </row>
    <row r="23" spans="1:8" x14ac:dyDescent="0.25">
      <c r="A23" s="25" t="s">
        <v>25</v>
      </c>
      <c r="B23" s="26"/>
      <c r="C23" s="26"/>
      <c r="D23" s="27">
        <f>1800</f>
        <v>1800</v>
      </c>
      <c r="E23" s="26"/>
      <c r="F23" s="26"/>
      <c r="G23" s="26"/>
      <c r="H23" s="27">
        <f t="shared" si="6"/>
        <v>1800</v>
      </c>
    </row>
    <row r="24" spans="1:8" x14ac:dyDescent="0.25">
      <c r="A24" s="25" t="s">
        <v>26</v>
      </c>
      <c r="B24" s="28">
        <f t="shared" ref="B24:G24" si="7">(((B20)+(B21))+(B22))+(B23)</f>
        <v>369</v>
      </c>
      <c r="C24" s="28">
        <f t="shared" si="7"/>
        <v>0</v>
      </c>
      <c r="D24" s="28">
        <f t="shared" si="7"/>
        <v>2024</v>
      </c>
      <c r="E24" s="28">
        <f t="shared" si="7"/>
        <v>0</v>
      </c>
      <c r="F24" s="28">
        <f t="shared" si="7"/>
        <v>0</v>
      </c>
      <c r="G24" s="28">
        <f t="shared" si="7"/>
        <v>0</v>
      </c>
      <c r="H24" s="28">
        <f t="shared" si="6"/>
        <v>2393</v>
      </c>
    </row>
    <row r="25" spans="1:8" x14ac:dyDescent="0.25">
      <c r="A25" s="25" t="s">
        <v>27</v>
      </c>
      <c r="B25" s="26"/>
      <c r="C25" s="27">
        <f>49.05</f>
        <v>49.05</v>
      </c>
      <c r="D25" s="27">
        <f>51.57</f>
        <v>51.57</v>
      </c>
      <c r="E25" s="26"/>
      <c r="F25" s="27">
        <f>163.04</f>
        <v>163.04</v>
      </c>
      <c r="G25" s="26"/>
      <c r="H25" s="27">
        <f t="shared" si="6"/>
        <v>263.65999999999997</v>
      </c>
    </row>
    <row r="26" spans="1:8" x14ac:dyDescent="0.25">
      <c r="A26" s="25" t="s">
        <v>28</v>
      </c>
      <c r="B26" s="27">
        <f>252</f>
        <v>252</v>
      </c>
      <c r="C26" s="26"/>
      <c r="D26" s="26"/>
      <c r="E26" s="26"/>
      <c r="F26" s="26"/>
      <c r="G26" s="26"/>
      <c r="H26" s="27">
        <f t="shared" si="6"/>
        <v>252</v>
      </c>
    </row>
    <row r="27" spans="1:8" x14ac:dyDescent="0.25">
      <c r="A27" s="25" t="s">
        <v>30</v>
      </c>
      <c r="B27" s="27">
        <f>40.95</f>
        <v>40.950000000000003</v>
      </c>
      <c r="C27" s="27">
        <f>40.95</f>
        <v>40.950000000000003</v>
      </c>
      <c r="D27" s="27">
        <f>40.95</f>
        <v>40.950000000000003</v>
      </c>
      <c r="E27" s="27">
        <f>40.95</f>
        <v>40.950000000000003</v>
      </c>
      <c r="F27" s="26"/>
      <c r="G27" s="26"/>
      <c r="H27" s="27">
        <f t="shared" si="6"/>
        <v>163.80000000000001</v>
      </c>
    </row>
    <row r="28" spans="1:8" x14ac:dyDescent="0.25">
      <c r="A28" s="25" t="s">
        <v>64</v>
      </c>
      <c r="B28" s="27">
        <f>320.14</f>
        <v>320.14</v>
      </c>
      <c r="C28" s="26"/>
      <c r="D28" s="26"/>
      <c r="E28" s="26"/>
      <c r="F28" s="26"/>
      <c r="G28" s="26"/>
      <c r="H28" s="27">
        <f t="shared" si="6"/>
        <v>320.14</v>
      </c>
    </row>
    <row r="29" spans="1:8" x14ac:dyDescent="0.25">
      <c r="A29" s="25" t="s">
        <v>32</v>
      </c>
      <c r="B29" s="27">
        <f>0.94</f>
        <v>0.94</v>
      </c>
      <c r="C29" s="26"/>
      <c r="D29" s="26"/>
      <c r="E29" s="26"/>
      <c r="F29" s="26"/>
      <c r="G29" s="27">
        <f>0.46</f>
        <v>0.46</v>
      </c>
      <c r="H29" s="27">
        <f t="shared" si="6"/>
        <v>1.4</v>
      </c>
    </row>
    <row r="30" spans="1:8" x14ac:dyDescent="0.25">
      <c r="A30" s="25" t="s">
        <v>33</v>
      </c>
      <c r="B30" s="27">
        <f>222.75</f>
        <v>222.75</v>
      </c>
      <c r="C30" s="27">
        <f>596.7</f>
        <v>596.70000000000005</v>
      </c>
      <c r="D30" s="27">
        <f>405</f>
        <v>405</v>
      </c>
      <c r="E30" s="27">
        <f>415.18</f>
        <v>415.18</v>
      </c>
      <c r="F30" s="26"/>
      <c r="G30" s="26"/>
      <c r="H30" s="27">
        <f t="shared" si="6"/>
        <v>1639.63</v>
      </c>
    </row>
    <row r="31" spans="1:8" x14ac:dyDescent="0.25">
      <c r="A31" s="25" t="s">
        <v>143</v>
      </c>
      <c r="B31" s="27">
        <f>22.05</f>
        <v>22.05</v>
      </c>
      <c r="C31" s="27">
        <f>3.87</f>
        <v>3.87</v>
      </c>
      <c r="D31" s="27">
        <f>2.21</f>
        <v>2.21</v>
      </c>
      <c r="E31" s="27">
        <f>0.04</f>
        <v>0.04</v>
      </c>
      <c r="F31" s="26"/>
      <c r="G31" s="26"/>
      <c r="H31" s="27">
        <f t="shared" si="6"/>
        <v>28.17</v>
      </c>
    </row>
    <row r="32" spans="1:8" x14ac:dyDescent="0.25">
      <c r="A32" s="25" t="s">
        <v>65</v>
      </c>
      <c r="B32" s="26"/>
      <c r="C32" s="26"/>
      <c r="D32" s="26"/>
      <c r="E32" s="26"/>
      <c r="F32" s="26"/>
      <c r="G32" s="27">
        <f>2327.5</f>
        <v>2327.5</v>
      </c>
      <c r="H32" s="27">
        <f t="shared" si="6"/>
        <v>2327.5</v>
      </c>
    </row>
    <row r="33" spans="1:8" x14ac:dyDescent="0.25">
      <c r="A33" s="25" t="s">
        <v>34</v>
      </c>
      <c r="B33" s="28">
        <f t="shared" ref="B33:G33" si="8">((((((((((B18)+(B19))+(B24))+(B25))+(B26))+(B27))+(B28))+(B29))+(B30))+(B31))+(B32)</f>
        <v>1857.8300000000002</v>
      </c>
      <c r="C33" s="28">
        <f t="shared" si="8"/>
        <v>1320.57</v>
      </c>
      <c r="D33" s="28">
        <f t="shared" si="8"/>
        <v>3153.73</v>
      </c>
      <c r="E33" s="28">
        <f t="shared" si="8"/>
        <v>1086.17</v>
      </c>
      <c r="F33" s="28">
        <f t="shared" si="8"/>
        <v>793.04</v>
      </c>
      <c r="G33" s="28">
        <f t="shared" si="8"/>
        <v>2957.96</v>
      </c>
      <c r="H33" s="28">
        <f t="shared" si="6"/>
        <v>11169.3</v>
      </c>
    </row>
    <row r="34" spans="1:8" x14ac:dyDescent="0.25">
      <c r="A34" s="25" t="s">
        <v>35</v>
      </c>
      <c r="B34" s="28">
        <f t="shared" ref="B34:G34" si="9">B33</f>
        <v>1857.8300000000002</v>
      </c>
      <c r="C34" s="28">
        <f t="shared" si="9"/>
        <v>1320.57</v>
      </c>
      <c r="D34" s="28">
        <f t="shared" si="9"/>
        <v>3153.73</v>
      </c>
      <c r="E34" s="28">
        <f t="shared" si="9"/>
        <v>1086.17</v>
      </c>
      <c r="F34" s="28">
        <f t="shared" si="9"/>
        <v>793.04</v>
      </c>
      <c r="G34" s="28">
        <f t="shared" si="9"/>
        <v>2957.96</v>
      </c>
      <c r="H34" s="28">
        <f t="shared" si="6"/>
        <v>11169.3</v>
      </c>
    </row>
    <row r="35" spans="1:8" x14ac:dyDescent="0.25">
      <c r="A35" s="25" t="s">
        <v>36</v>
      </c>
      <c r="B35" s="28">
        <f t="shared" ref="B35:G35" si="10">(((B16)-(B34))+(0))-(0)</f>
        <v>6288.7800000000007</v>
      </c>
      <c r="C35" s="28">
        <f t="shared" si="10"/>
        <v>-1452.6499999999999</v>
      </c>
      <c r="D35" s="28">
        <f t="shared" si="10"/>
        <v>4087.07</v>
      </c>
      <c r="E35" s="28">
        <f t="shared" si="10"/>
        <v>-1086.17</v>
      </c>
      <c r="F35" s="28">
        <f t="shared" si="10"/>
        <v>-793.04</v>
      </c>
      <c r="G35" s="28">
        <f t="shared" si="10"/>
        <v>-2957.96</v>
      </c>
      <c r="H35" s="28">
        <f t="shared" si="6"/>
        <v>4086.0300000000007</v>
      </c>
    </row>
    <row r="36" spans="1:8" x14ac:dyDescent="0.25">
      <c r="A36" s="25"/>
      <c r="B36" s="26"/>
      <c r="C36" s="26"/>
      <c r="D36" s="26"/>
      <c r="E36" s="26"/>
      <c r="F36" s="26"/>
      <c r="G36" s="26"/>
      <c r="H36" s="26"/>
    </row>
    <row r="39" spans="1:8" x14ac:dyDescent="0.25">
      <c r="A39" s="29" t="s">
        <v>146</v>
      </c>
      <c r="B39" s="2"/>
      <c r="C39" s="2"/>
      <c r="D39" s="2"/>
      <c r="E39" s="2"/>
      <c r="F39" s="2"/>
      <c r="G39" s="2"/>
      <c r="H39" s="2"/>
    </row>
  </sheetData>
  <mergeCells count="4">
    <mergeCell ref="A1:H1"/>
    <mergeCell ref="A2:H2"/>
    <mergeCell ref="A3:H3"/>
    <mergeCell ref="A39:H3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CECCA-BCAF-409D-840A-A4D5F1AE422C}">
  <dimension ref="A1:H18"/>
  <sheetViews>
    <sheetView topLeftCell="A4" workbookViewId="0">
      <selection activeCell="J10" sqref="J10"/>
    </sheetView>
  </sheetViews>
  <sheetFormatPr defaultRowHeight="15" x14ac:dyDescent="0.25"/>
  <cols>
    <col min="1" max="1" width="24" customWidth="1"/>
    <col min="2" max="3" width="7.7109375" customWidth="1"/>
    <col min="4" max="4" width="8.5703125" customWidth="1"/>
    <col min="5" max="7" width="7.7109375" customWidth="1"/>
    <col min="8" max="8" width="8.57031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147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18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19</v>
      </c>
      <c r="B7" s="26"/>
      <c r="C7" s="26"/>
      <c r="D7" s="26"/>
      <c r="E7" s="26"/>
      <c r="F7" s="26"/>
      <c r="G7" s="26"/>
      <c r="H7" s="27">
        <f t="shared" ref="H7:H14" si="0">(((((B7)+(C7))+(D7))+(E7))+(F7))+(G7)</f>
        <v>0</v>
      </c>
    </row>
    <row r="8" spans="1:8" x14ac:dyDescent="0.25">
      <c r="A8" s="25" t="s">
        <v>24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25</v>
      </c>
      <c r="B9" s="26"/>
      <c r="C9" s="26"/>
      <c r="D9" s="27">
        <f>540</f>
        <v>540</v>
      </c>
      <c r="E9" s="26"/>
      <c r="F9" s="26"/>
      <c r="G9" s="26"/>
      <c r="H9" s="27">
        <f t="shared" si="0"/>
        <v>540</v>
      </c>
    </row>
    <row r="10" spans="1:8" x14ac:dyDescent="0.25">
      <c r="A10" s="25" t="s">
        <v>26</v>
      </c>
      <c r="B10" s="28">
        <f t="shared" ref="B10:G10" si="1">(B8)+(B9)</f>
        <v>0</v>
      </c>
      <c r="C10" s="28">
        <f t="shared" si="1"/>
        <v>0</v>
      </c>
      <c r="D10" s="28">
        <f t="shared" si="1"/>
        <v>540</v>
      </c>
      <c r="E10" s="28">
        <f t="shared" si="1"/>
        <v>0</v>
      </c>
      <c r="F10" s="28">
        <f t="shared" si="1"/>
        <v>0</v>
      </c>
      <c r="G10" s="28">
        <f t="shared" si="1"/>
        <v>0</v>
      </c>
      <c r="H10" s="28">
        <f t="shared" si="0"/>
        <v>540</v>
      </c>
    </row>
    <row r="11" spans="1:8" x14ac:dyDescent="0.25">
      <c r="A11" s="25" t="s">
        <v>27</v>
      </c>
      <c r="B11" s="26"/>
      <c r="C11" s="26"/>
      <c r="D11" s="26"/>
      <c r="E11" s="26"/>
      <c r="F11" s="27">
        <f>50.36</f>
        <v>50.36</v>
      </c>
      <c r="G11" s="26"/>
      <c r="H11" s="27">
        <f t="shared" si="0"/>
        <v>50.36</v>
      </c>
    </row>
    <row r="12" spans="1:8" x14ac:dyDescent="0.25">
      <c r="A12" s="25" t="s">
        <v>34</v>
      </c>
      <c r="B12" s="28">
        <f t="shared" ref="B12:G12" si="2">((B7)+(B10))+(B11)</f>
        <v>0</v>
      </c>
      <c r="C12" s="28">
        <f t="shared" si="2"/>
        <v>0</v>
      </c>
      <c r="D12" s="28">
        <f t="shared" si="2"/>
        <v>540</v>
      </c>
      <c r="E12" s="28">
        <f t="shared" si="2"/>
        <v>0</v>
      </c>
      <c r="F12" s="28">
        <f t="shared" si="2"/>
        <v>50.36</v>
      </c>
      <c r="G12" s="28">
        <f t="shared" si="2"/>
        <v>0</v>
      </c>
      <c r="H12" s="28">
        <f t="shared" si="0"/>
        <v>590.36</v>
      </c>
    </row>
    <row r="13" spans="1:8" x14ac:dyDescent="0.25">
      <c r="A13" s="25" t="s">
        <v>35</v>
      </c>
      <c r="B13" s="28">
        <f t="shared" ref="B13:G13" si="3">B12</f>
        <v>0</v>
      </c>
      <c r="C13" s="28">
        <f t="shared" si="3"/>
        <v>0</v>
      </c>
      <c r="D13" s="28">
        <f t="shared" si="3"/>
        <v>540</v>
      </c>
      <c r="E13" s="28">
        <f t="shared" si="3"/>
        <v>0</v>
      </c>
      <c r="F13" s="28">
        <f t="shared" si="3"/>
        <v>50.36</v>
      </c>
      <c r="G13" s="28">
        <f t="shared" si="3"/>
        <v>0</v>
      </c>
      <c r="H13" s="28">
        <f t="shared" si="0"/>
        <v>590.36</v>
      </c>
    </row>
    <row r="14" spans="1:8" x14ac:dyDescent="0.25">
      <c r="A14" s="25" t="s">
        <v>36</v>
      </c>
      <c r="B14" s="28">
        <f t="shared" ref="B14:G14" si="4">(((0)-(B13))+(0))-(0)</f>
        <v>0</v>
      </c>
      <c r="C14" s="28">
        <f t="shared" si="4"/>
        <v>0</v>
      </c>
      <c r="D14" s="28">
        <f t="shared" si="4"/>
        <v>-540</v>
      </c>
      <c r="E14" s="28">
        <f t="shared" si="4"/>
        <v>0</v>
      </c>
      <c r="F14" s="28">
        <f t="shared" si="4"/>
        <v>-50.36</v>
      </c>
      <c r="G14" s="28">
        <f t="shared" si="4"/>
        <v>0</v>
      </c>
      <c r="H14" s="28">
        <f t="shared" si="0"/>
        <v>-590.36</v>
      </c>
    </row>
    <row r="15" spans="1:8" x14ac:dyDescent="0.25">
      <c r="A15" s="25"/>
      <c r="B15" s="26"/>
      <c r="C15" s="26"/>
      <c r="D15" s="26"/>
      <c r="E15" s="26"/>
      <c r="F15" s="26"/>
      <c r="G15" s="26"/>
      <c r="H15" s="26"/>
    </row>
    <row r="18" spans="1:8" x14ac:dyDescent="0.25">
      <c r="A18" s="29" t="s">
        <v>148</v>
      </c>
      <c r="B18" s="2"/>
      <c r="C18" s="2"/>
      <c r="D18" s="2"/>
      <c r="E18" s="2"/>
      <c r="F18" s="2"/>
      <c r="G18" s="2"/>
      <c r="H18" s="2"/>
    </row>
  </sheetData>
  <mergeCells count="4">
    <mergeCell ref="A1:H1"/>
    <mergeCell ref="A2:H2"/>
    <mergeCell ref="A3:H3"/>
    <mergeCell ref="A18:H1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BB00E-1C34-4943-83C4-5F9D402C813A}">
  <dimension ref="A1:H18"/>
  <sheetViews>
    <sheetView workbookViewId="0">
      <selection activeCell="K11" sqref="K11"/>
    </sheetView>
  </sheetViews>
  <sheetFormatPr defaultRowHeight="15" x14ac:dyDescent="0.25"/>
  <cols>
    <col min="1" max="1" width="21.42578125" customWidth="1"/>
    <col min="2" max="4" width="7.7109375" customWidth="1"/>
    <col min="5" max="5" width="8.5703125" customWidth="1"/>
    <col min="6" max="7" width="10.28515625" customWidth="1"/>
    <col min="8" max="8" width="11.140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149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18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19</v>
      </c>
      <c r="B7" s="26"/>
      <c r="C7" s="26"/>
      <c r="D7" s="26"/>
      <c r="E7" s="26"/>
      <c r="F7" s="26"/>
      <c r="G7" s="26"/>
      <c r="H7" s="27">
        <f t="shared" ref="H7:H14" si="0">(((((B7)+(C7))+(D7))+(E7))+(F7))+(G7)</f>
        <v>0</v>
      </c>
    </row>
    <row r="8" spans="1:8" x14ac:dyDescent="0.25">
      <c r="A8" s="25" t="s">
        <v>27</v>
      </c>
      <c r="B8" s="26"/>
      <c r="C8" s="26"/>
      <c r="D8" s="27">
        <f>57.3</f>
        <v>57.3</v>
      </c>
      <c r="E8" s="26"/>
      <c r="F8" s="27">
        <f>172.1</f>
        <v>172.1</v>
      </c>
      <c r="G8" s="26"/>
      <c r="H8" s="27">
        <f t="shared" si="0"/>
        <v>229.39999999999998</v>
      </c>
    </row>
    <row r="9" spans="1:8" x14ac:dyDescent="0.25">
      <c r="A9" s="25" t="s">
        <v>128</v>
      </c>
      <c r="B9" s="26"/>
      <c r="C9" s="26"/>
      <c r="D9" s="26"/>
      <c r="E9" s="26"/>
      <c r="F9" s="27">
        <f>126.09</f>
        <v>126.09</v>
      </c>
      <c r="G9" s="27">
        <f>404.69</f>
        <v>404.69</v>
      </c>
      <c r="H9" s="27">
        <f t="shared" si="0"/>
        <v>530.78</v>
      </c>
    </row>
    <row r="10" spans="1:8" x14ac:dyDescent="0.25">
      <c r="A10" s="25" t="s">
        <v>32</v>
      </c>
      <c r="B10" s="26"/>
      <c r="C10" s="26"/>
      <c r="D10" s="26"/>
      <c r="E10" s="27">
        <f>128</f>
        <v>128</v>
      </c>
      <c r="F10" s="26"/>
      <c r="G10" s="26"/>
      <c r="H10" s="27">
        <f t="shared" si="0"/>
        <v>128</v>
      </c>
    </row>
    <row r="11" spans="1:8" x14ac:dyDescent="0.25">
      <c r="A11" s="25" t="s">
        <v>65</v>
      </c>
      <c r="B11" s="26"/>
      <c r="C11" s="26"/>
      <c r="D11" s="26"/>
      <c r="E11" s="26"/>
      <c r="F11" s="27">
        <f>1965</f>
        <v>1965</v>
      </c>
      <c r="G11" s="27">
        <f>8614.5</f>
        <v>8614.5</v>
      </c>
      <c r="H11" s="27">
        <f t="shared" si="0"/>
        <v>10579.5</v>
      </c>
    </row>
    <row r="12" spans="1:8" x14ac:dyDescent="0.25">
      <c r="A12" s="25" t="s">
        <v>34</v>
      </c>
      <c r="B12" s="28">
        <f t="shared" ref="B12:G12" si="1">((((B7)+(B8))+(B9))+(B10))+(B11)</f>
        <v>0</v>
      </c>
      <c r="C12" s="28">
        <f t="shared" si="1"/>
        <v>0</v>
      </c>
      <c r="D12" s="28">
        <f t="shared" si="1"/>
        <v>57.3</v>
      </c>
      <c r="E12" s="28">
        <f t="shared" si="1"/>
        <v>128</v>
      </c>
      <c r="F12" s="28">
        <f t="shared" si="1"/>
        <v>2263.19</v>
      </c>
      <c r="G12" s="28">
        <f t="shared" si="1"/>
        <v>9019.19</v>
      </c>
      <c r="H12" s="28">
        <f t="shared" si="0"/>
        <v>11467.68</v>
      </c>
    </row>
    <row r="13" spans="1:8" x14ac:dyDescent="0.25">
      <c r="A13" s="25" t="s">
        <v>35</v>
      </c>
      <c r="B13" s="28">
        <f t="shared" ref="B13:G13" si="2">B12</f>
        <v>0</v>
      </c>
      <c r="C13" s="28">
        <f t="shared" si="2"/>
        <v>0</v>
      </c>
      <c r="D13" s="28">
        <f t="shared" si="2"/>
        <v>57.3</v>
      </c>
      <c r="E13" s="28">
        <f t="shared" si="2"/>
        <v>128</v>
      </c>
      <c r="F13" s="28">
        <f t="shared" si="2"/>
        <v>2263.19</v>
      </c>
      <c r="G13" s="28">
        <f t="shared" si="2"/>
        <v>9019.19</v>
      </c>
      <c r="H13" s="28">
        <f t="shared" si="0"/>
        <v>11467.68</v>
      </c>
    </row>
    <row r="14" spans="1:8" x14ac:dyDescent="0.25">
      <c r="A14" s="25" t="s">
        <v>36</v>
      </c>
      <c r="B14" s="28">
        <f t="shared" ref="B14:G14" si="3">(((0)-(B13))+(0))-(0)</f>
        <v>0</v>
      </c>
      <c r="C14" s="28">
        <f t="shared" si="3"/>
        <v>0</v>
      </c>
      <c r="D14" s="28">
        <f t="shared" si="3"/>
        <v>-57.3</v>
      </c>
      <c r="E14" s="28">
        <f t="shared" si="3"/>
        <v>-128</v>
      </c>
      <c r="F14" s="28">
        <f t="shared" si="3"/>
        <v>-2263.19</v>
      </c>
      <c r="G14" s="28">
        <f t="shared" si="3"/>
        <v>-9019.19</v>
      </c>
      <c r="H14" s="28">
        <f t="shared" si="0"/>
        <v>-11467.68</v>
      </c>
    </row>
    <row r="15" spans="1:8" x14ac:dyDescent="0.25">
      <c r="A15" s="25"/>
      <c r="B15" s="26"/>
      <c r="C15" s="26"/>
      <c r="D15" s="26"/>
      <c r="E15" s="26"/>
      <c r="F15" s="26"/>
      <c r="G15" s="26"/>
      <c r="H15" s="26"/>
    </row>
    <row r="18" spans="1:8" x14ac:dyDescent="0.25">
      <c r="A18" s="29" t="s">
        <v>150</v>
      </c>
      <c r="B18" s="2"/>
      <c r="C18" s="2"/>
      <c r="D18" s="2"/>
      <c r="E18" s="2"/>
      <c r="F18" s="2"/>
      <c r="G18" s="2"/>
      <c r="H18" s="2"/>
    </row>
  </sheetData>
  <mergeCells count="4">
    <mergeCell ref="A1:H1"/>
    <mergeCell ref="A2:H2"/>
    <mergeCell ref="A3:H3"/>
    <mergeCell ref="A18:H1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F5BC1-4D09-433C-9374-7A9C0F60B6D3}">
  <dimension ref="A1:J69"/>
  <sheetViews>
    <sheetView tabSelected="1" workbookViewId="0">
      <selection activeCell="J17" sqref="J17"/>
    </sheetView>
  </sheetViews>
  <sheetFormatPr defaultRowHeight="15" x14ac:dyDescent="0.25"/>
  <cols>
    <col min="1" max="1" width="30.140625" customWidth="1"/>
    <col min="2" max="2" width="10.28515625" customWidth="1"/>
    <col min="3" max="3" width="10.42578125" bestFit="1" customWidth="1"/>
    <col min="4" max="4" width="10.140625" bestFit="1" customWidth="1"/>
    <col min="5" max="5" width="10.28515625" customWidth="1"/>
    <col min="6" max="8" width="11.140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151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27" si="0">(((((B7)+(C7))+(D7))+(E7))+(F7))+(G7)</f>
        <v>0</v>
      </c>
    </row>
    <row r="8" spans="1:8" x14ac:dyDescent="0.25">
      <c r="A8" s="25" t="s">
        <v>152</v>
      </c>
      <c r="B8" s="27">
        <v>88</v>
      </c>
      <c r="C8" s="27">
        <v>0</v>
      </c>
      <c r="D8" s="27">
        <v>161.69999999999999</v>
      </c>
      <c r="E8" s="27">
        <v>0</v>
      </c>
      <c r="F8" s="27">
        <v>924</v>
      </c>
      <c r="G8" s="27">
        <v>924</v>
      </c>
      <c r="H8" s="27">
        <f t="shared" si="0"/>
        <v>2097.6999999999998</v>
      </c>
    </row>
    <row r="9" spans="1:8" x14ac:dyDescent="0.25">
      <c r="A9" s="25" t="s">
        <v>12</v>
      </c>
      <c r="B9" s="26"/>
      <c r="C9" s="26"/>
      <c r="D9" s="26"/>
      <c r="E9" s="26"/>
      <c r="F9" s="26"/>
      <c r="G9" s="26"/>
      <c r="H9" s="27">
        <f t="shared" si="0"/>
        <v>0</v>
      </c>
    </row>
    <row r="10" spans="1:8" x14ac:dyDescent="0.25">
      <c r="A10" s="25" t="s">
        <v>135</v>
      </c>
      <c r="B10" s="27">
        <f>209.45</f>
        <v>209.45</v>
      </c>
      <c r="C10" s="27">
        <f>43.99</f>
        <v>43.99</v>
      </c>
      <c r="D10" s="26"/>
      <c r="E10" s="27">
        <f>802.85</f>
        <v>802.85</v>
      </c>
      <c r="F10" s="27">
        <f>198.64</f>
        <v>198.64</v>
      </c>
      <c r="G10" s="27">
        <f>-204.05</f>
        <v>-204.05</v>
      </c>
      <c r="H10" s="27">
        <f t="shared" si="0"/>
        <v>1050.8799999999999</v>
      </c>
    </row>
    <row r="11" spans="1:8" x14ac:dyDescent="0.25">
      <c r="A11" s="25" t="s">
        <v>136</v>
      </c>
      <c r="B11" s="27">
        <f>320.57</f>
        <v>320.57</v>
      </c>
      <c r="C11" s="27">
        <f>170.51</f>
        <v>170.51</v>
      </c>
      <c r="D11" s="27">
        <f>379.16</f>
        <v>379.16</v>
      </c>
      <c r="E11" s="27">
        <f>169.71</f>
        <v>169.71</v>
      </c>
      <c r="F11" s="27">
        <f>280.21</f>
        <v>280.20999999999998</v>
      </c>
      <c r="G11" s="27">
        <f>304.44</f>
        <v>304.44</v>
      </c>
      <c r="H11" s="27">
        <f t="shared" si="0"/>
        <v>1624.6000000000001</v>
      </c>
    </row>
    <row r="12" spans="1:8" x14ac:dyDescent="0.25">
      <c r="A12" s="25" t="s">
        <v>13</v>
      </c>
      <c r="B12" s="27">
        <f>104505.52+'[2]10-7'!$D$10+'[2]9-30'!$D$10</f>
        <v>161026.81116666668</v>
      </c>
      <c r="C12" s="27">
        <f>75737.7+'[2]9-30'!$F$10+'[2]10-7'!$F$10</f>
        <v>132468.00333333333</v>
      </c>
      <c r="D12" s="27">
        <f>94183.13+'[2]9-30'!$H$10+'[2]10-7'!$H$10</f>
        <v>151821.68666666668</v>
      </c>
      <c r="E12" s="27">
        <f>116595.09+'[2]9-30'!$J$10+'[2]10-7'!$J$10</f>
        <v>199107.93333333332</v>
      </c>
      <c r="F12" s="27">
        <f>111265.18+'[2]9-30'!$L$10+'[2]10-7'!$L$10</f>
        <v>188347.94</v>
      </c>
      <c r="G12" s="27">
        <f>61495.81+'[2]9-30'!$N$10+'[2]10-7'!$N$10</f>
        <v>74434.963333333333</v>
      </c>
      <c r="H12" s="27">
        <f t="shared" si="0"/>
        <v>907207.33783333329</v>
      </c>
    </row>
    <row r="13" spans="1:8" x14ac:dyDescent="0.25">
      <c r="A13" s="25" t="s">
        <v>14</v>
      </c>
      <c r="B13" s="28">
        <f t="shared" ref="B13:G13" si="1">(((B9)+(B10))+(B11))+(B12)</f>
        <v>161556.83116666667</v>
      </c>
      <c r="C13" s="28">
        <f t="shared" si="1"/>
        <v>132682.50333333333</v>
      </c>
      <c r="D13" s="28">
        <f t="shared" si="1"/>
        <v>152200.84666666668</v>
      </c>
      <c r="E13" s="28">
        <f t="shared" si="1"/>
        <v>200080.49333333332</v>
      </c>
      <c r="F13" s="28">
        <f t="shared" si="1"/>
        <v>188826.79</v>
      </c>
      <c r="G13" s="28">
        <f t="shared" si="1"/>
        <v>74535.353333333333</v>
      </c>
      <c r="H13" s="28">
        <f t="shared" si="0"/>
        <v>909882.81783333328</v>
      </c>
    </row>
    <row r="14" spans="1:8" x14ac:dyDescent="0.25">
      <c r="A14" s="25"/>
      <c r="B14" s="26"/>
      <c r="C14" s="26"/>
      <c r="D14" s="26"/>
      <c r="E14" s="26"/>
      <c r="F14" s="26"/>
      <c r="G14" s="26"/>
      <c r="H14" s="27"/>
    </row>
    <row r="15" spans="1:8" x14ac:dyDescent="0.25">
      <c r="A15" s="25"/>
      <c r="B15" s="26"/>
      <c r="C15" s="26"/>
      <c r="D15" s="27"/>
      <c r="E15" s="27"/>
      <c r="F15" s="27"/>
      <c r="G15" s="26"/>
      <c r="H15" s="27"/>
    </row>
    <row r="16" spans="1:8" x14ac:dyDescent="0.25">
      <c r="A16" s="25"/>
      <c r="B16" s="28"/>
      <c r="C16" s="28"/>
      <c r="D16" s="28"/>
      <c r="E16" s="28"/>
      <c r="F16" s="28"/>
      <c r="G16" s="28"/>
      <c r="H16" s="28"/>
    </row>
    <row r="17" spans="1:8" x14ac:dyDescent="0.25">
      <c r="A17" s="25" t="s">
        <v>15</v>
      </c>
      <c r="B17" s="28">
        <f>((((B7)+(B8)))+(B13))+(B16)</f>
        <v>161644.83116666667</v>
      </c>
      <c r="C17" s="28">
        <f t="shared" ref="C17:G17" si="2">((((C7)+(C8)))+(C13))+(C16)</f>
        <v>132682.50333333333</v>
      </c>
      <c r="D17" s="28">
        <f t="shared" si="2"/>
        <v>152362.54666666669</v>
      </c>
      <c r="E17" s="28">
        <f t="shared" si="2"/>
        <v>200080.49333333332</v>
      </c>
      <c r="F17" s="28">
        <f t="shared" si="2"/>
        <v>189750.79</v>
      </c>
      <c r="G17" s="28">
        <f t="shared" si="2"/>
        <v>75459.353333333333</v>
      </c>
      <c r="H17" s="28">
        <f t="shared" si="0"/>
        <v>911980.51783333346</v>
      </c>
    </row>
    <row r="18" spans="1:8" x14ac:dyDescent="0.25">
      <c r="A18" s="25" t="s">
        <v>39</v>
      </c>
      <c r="B18" s="26"/>
      <c r="C18" s="26"/>
      <c r="D18" s="26"/>
      <c r="E18" s="26"/>
      <c r="F18" s="26"/>
      <c r="G18" s="26"/>
      <c r="H18" s="27">
        <f t="shared" si="0"/>
        <v>0</v>
      </c>
    </row>
    <row r="19" spans="1:8" x14ac:dyDescent="0.25">
      <c r="A19" s="25" t="s">
        <v>137</v>
      </c>
      <c r="B19" s="26"/>
      <c r="C19" s="26"/>
      <c r="D19" s="27">
        <f>-12.7</f>
        <v>-12.7</v>
      </c>
      <c r="E19" s="26"/>
      <c r="F19" s="26"/>
      <c r="G19" s="26"/>
      <c r="H19" s="27">
        <f t="shared" si="0"/>
        <v>-12.7</v>
      </c>
    </row>
    <row r="20" spans="1:8" x14ac:dyDescent="0.25">
      <c r="A20" s="25" t="s">
        <v>138</v>
      </c>
      <c r="B20" s="26"/>
      <c r="C20" s="26"/>
      <c r="D20" s="27">
        <f>-33.85</f>
        <v>-33.85</v>
      </c>
      <c r="E20" s="26"/>
      <c r="F20" s="26"/>
      <c r="G20" s="26"/>
      <c r="H20" s="27">
        <f t="shared" si="0"/>
        <v>-33.85</v>
      </c>
    </row>
    <row r="21" spans="1:8" x14ac:dyDescent="0.25">
      <c r="A21" s="25" t="s">
        <v>153</v>
      </c>
      <c r="B21" s="27">
        <f>-59.79+'[2]10-7'!$D$14+'[2]9-30'!$D$14</f>
        <v>-398.6</v>
      </c>
      <c r="C21" s="27">
        <f>-772.17+'[2]9-30'!$F$14+'[2]10-7'!$F$14</f>
        <v>-5147.8</v>
      </c>
      <c r="D21" s="27">
        <f>-1526.96+'[2]9-30'!$H$14+'[2]10-7'!$H$14</f>
        <v>-10179.733333333334</v>
      </c>
      <c r="E21" s="27">
        <f>-1084.43+'[2]9-30'!$J$14+'[2]10-7'!$J$14</f>
        <v>-7229.5333333333338</v>
      </c>
      <c r="F21" s="27">
        <f>-1893.42+'[2]9-30'!$L$14+'[2]10-7'!$L$14</f>
        <v>-12622.8</v>
      </c>
      <c r="G21" s="27">
        <f>-968.25+'[2]9-30'!$N$14+'[2]10-7'!$N$14</f>
        <v>-6455</v>
      </c>
      <c r="H21" s="27">
        <f t="shared" si="0"/>
        <v>-42033.466666666667</v>
      </c>
    </row>
    <row r="22" spans="1:8" x14ac:dyDescent="0.25">
      <c r="A22" s="25" t="s">
        <v>76</v>
      </c>
      <c r="B22" s="27">
        <f>-171.6</f>
        <v>-171.6</v>
      </c>
      <c r="C22" s="27">
        <f>-219.82</f>
        <v>-219.82</v>
      </c>
      <c r="D22" s="27">
        <f>-290.46</f>
        <v>-290.45999999999998</v>
      </c>
      <c r="E22" s="27">
        <f>-253.3</f>
        <v>-253.3</v>
      </c>
      <c r="F22" s="27">
        <f>-216.24</f>
        <v>-216.24</v>
      </c>
      <c r="G22" s="27">
        <f>-141.66</f>
        <v>-141.66</v>
      </c>
      <c r="H22" s="27">
        <f t="shared" si="0"/>
        <v>-1293.08</v>
      </c>
    </row>
    <row r="23" spans="1:8" x14ac:dyDescent="0.25">
      <c r="A23" s="25"/>
      <c r="B23" s="27"/>
      <c r="C23" s="27"/>
      <c r="D23" s="27"/>
      <c r="E23" s="27"/>
      <c r="F23" s="27"/>
      <c r="G23" s="27"/>
      <c r="H23" s="27"/>
    </row>
    <row r="24" spans="1:8" x14ac:dyDescent="0.25">
      <c r="A24" s="25"/>
      <c r="B24" s="27"/>
      <c r="C24" s="27"/>
      <c r="D24" s="27"/>
      <c r="E24" s="27"/>
      <c r="F24" s="27"/>
      <c r="G24" s="27"/>
      <c r="H24" s="27"/>
    </row>
    <row r="25" spans="1:8" x14ac:dyDescent="0.25">
      <c r="A25" s="25" t="s">
        <v>41</v>
      </c>
      <c r="B25" s="28">
        <f>((((((B18)+(B19))+(B20))+(B21))+(B22))+(B23))+(B24)</f>
        <v>-570.20000000000005</v>
      </c>
      <c r="C25" s="28">
        <f>((((((C18)+(C19))+(C20))+(C21))+(C22))+(C23))+(C24)</f>
        <v>-5367.62</v>
      </c>
      <c r="D25" s="28">
        <f>((((((D18)+(D19))+(D20))+(D21))+(D22))+(D23))+(D24)</f>
        <v>-10516.743333333332</v>
      </c>
      <c r="E25" s="28">
        <f>((((((E18)+(E19))+(E20))+(E21))+(E22))+(E23))+(E24)</f>
        <v>-7482.8333333333339</v>
      </c>
      <c r="F25" s="28">
        <f>((((((F18)+(F19))+(F20))+(F21))+(F22))+(F23))+(F24)</f>
        <v>-12839.039999999999</v>
      </c>
      <c r="G25" s="28">
        <f>((((((G18)+(G19))+(G20))+(G21))+(G22))+(G23))+(G24)</f>
        <v>-6596.66</v>
      </c>
      <c r="H25" s="28">
        <f t="shared" si="0"/>
        <v>-43373.096666666665</v>
      </c>
    </row>
    <row r="26" spans="1:8" x14ac:dyDescent="0.25">
      <c r="A26" s="25" t="s">
        <v>16</v>
      </c>
      <c r="B26" s="28">
        <f>(B17)+(B25)</f>
        <v>161074.63116666666</v>
      </c>
      <c r="C26" s="28">
        <f>(C17)+(C25)</f>
        <v>127314.88333333333</v>
      </c>
      <c r="D26" s="28">
        <f>(D17)+(D25)</f>
        <v>141845.80333333334</v>
      </c>
      <c r="E26" s="28">
        <f>(E17)+(E25)</f>
        <v>192597.65999999997</v>
      </c>
      <c r="F26" s="28">
        <f>(F17)+(F25)</f>
        <v>176911.75</v>
      </c>
      <c r="G26" s="28">
        <f>(G17)+(G25)</f>
        <v>68862.693333333329</v>
      </c>
      <c r="H26" s="28">
        <f t="shared" si="0"/>
        <v>868607.42116666667</v>
      </c>
    </row>
    <row r="27" spans="1:8" x14ac:dyDescent="0.25">
      <c r="A27" s="25" t="s">
        <v>17</v>
      </c>
      <c r="B27" s="28">
        <f t="shared" ref="B27:G27" si="3">(B26)-(0)</f>
        <v>161074.63116666666</v>
      </c>
      <c r="C27" s="28">
        <f t="shared" si="3"/>
        <v>127314.88333333333</v>
      </c>
      <c r="D27" s="28">
        <f t="shared" si="3"/>
        <v>141845.80333333334</v>
      </c>
      <c r="E27" s="28">
        <f t="shared" si="3"/>
        <v>192597.65999999997</v>
      </c>
      <c r="F27" s="28">
        <f t="shared" si="3"/>
        <v>176911.75</v>
      </c>
      <c r="G27" s="28">
        <f t="shared" si="3"/>
        <v>68862.693333333329</v>
      </c>
      <c r="H27" s="28">
        <f t="shared" si="0"/>
        <v>868607.42116666667</v>
      </c>
    </row>
    <row r="28" spans="1:8" x14ac:dyDescent="0.25">
      <c r="A28" s="25" t="s">
        <v>18</v>
      </c>
      <c r="B28" s="26"/>
      <c r="C28" s="26"/>
      <c r="D28" s="26"/>
      <c r="E28" s="26"/>
      <c r="F28" s="26"/>
      <c r="G28" s="26"/>
      <c r="H28" s="26"/>
    </row>
    <row r="29" spans="1:8" x14ac:dyDescent="0.25">
      <c r="A29" s="25"/>
      <c r="B29" s="26"/>
      <c r="C29" s="26"/>
      <c r="D29" s="26"/>
      <c r="E29" s="26"/>
      <c r="F29" s="26"/>
      <c r="G29" s="26"/>
      <c r="H29" s="27"/>
    </row>
    <row r="30" spans="1:8" x14ac:dyDescent="0.25">
      <c r="A30" s="25"/>
      <c r="B30" s="27"/>
      <c r="C30" s="26"/>
      <c r="D30" s="27"/>
      <c r="E30" s="27"/>
      <c r="F30" s="27"/>
      <c r="G30" s="26"/>
      <c r="H30" s="27"/>
    </row>
    <row r="31" spans="1:8" x14ac:dyDescent="0.25">
      <c r="A31" s="25"/>
      <c r="B31" s="26"/>
      <c r="C31" s="27"/>
      <c r="D31" s="26"/>
      <c r="E31" s="26"/>
      <c r="F31" s="26"/>
      <c r="G31" s="26"/>
      <c r="H31" s="27"/>
    </row>
    <row r="32" spans="1:8" x14ac:dyDescent="0.25">
      <c r="A32" s="25"/>
      <c r="B32" s="26"/>
      <c r="C32" s="26"/>
      <c r="D32" s="26"/>
      <c r="E32" s="26"/>
      <c r="F32" s="27"/>
      <c r="G32" s="26"/>
      <c r="H32" s="27"/>
    </row>
    <row r="33" spans="1:8" x14ac:dyDescent="0.25">
      <c r="A33" s="25"/>
      <c r="B33" s="28"/>
      <c r="C33" s="28"/>
      <c r="D33" s="28"/>
      <c r="E33" s="28"/>
      <c r="F33" s="28"/>
      <c r="G33" s="28"/>
      <c r="H33" s="28"/>
    </row>
    <row r="34" spans="1:8" x14ac:dyDescent="0.25">
      <c r="A34" s="25" t="s">
        <v>19</v>
      </c>
      <c r="B34" s="26"/>
      <c r="C34" s="26"/>
      <c r="D34" s="27"/>
      <c r="E34" s="26"/>
      <c r="F34" s="26"/>
      <c r="G34" s="26"/>
      <c r="H34" s="27"/>
    </row>
    <row r="35" spans="1:8" x14ac:dyDescent="0.25">
      <c r="A35" s="25" t="s">
        <v>104</v>
      </c>
      <c r="B35" s="27">
        <f>2.72+'[2]10-7'!$D$20+'[2]9-30'!$D$20</f>
        <v>18.133333333333336</v>
      </c>
      <c r="C35" s="27">
        <f>5.48+'[2]9-30'!$F$20</f>
        <v>36.533333333333339</v>
      </c>
      <c r="D35" s="27">
        <f>655.6+'[2]9-30'!$H$20</f>
        <v>668.06666666666672</v>
      </c>
      <c r="E35" s="27">
        <f>2.75+'[2]9-30'!$J$20</f>
        <v>18.333333333333336</v>
      </c>
      <c r="F35" s="27">
        <f>1.65+'[2]9-30'!$L$20</f>
        <v>11</v>
      </c>
      <c r="G35" s="26">
        <f>+'[2]9-30'!$N$20</f>
        <v>0</v>
      </c>
      <c r="H35" s="27">
        <f t="shared" ref="H35:H65" si="4">(((((B35)+(C35))+(D35))+(E35))+(F35))+(G35)</f>
        <v>752.06666666666672</v>
      </c>
    </row>
    <row r="36" spans="1:8" x14ac:dyDescent="0.25">
      <c r="A36" s="25" t="s">
        <v>20</v>
      </c>
      <c r="B36" s="27">
        <f>3795.48+'[2]10-7'!$D$21+'[2]9-30'!$D$21</f>
        <v>4716.9366666666674</v>
      </c>
      <c r="C36" s="27">
        <f>4318.79+'[2]9-30'!$F$21+'[2]10-7'!$F$21</f>
        <v>5152.2433333333338</v>
      </c>
      <c r="D36" s="27">
        <f>1089.85+'[2]9-30'!$H$21+'[2]10-7'!$H$21</f>
        <v>2011.3066666666666</v>
      </c>
      <c r="E36" s="27">
        <f>4447.9+'[2]9-30'!$J$21+0</f>
        <v>5189.0433333333331</v>
      </c>
      <c r="F36" s="27">
        <f>2130.89+'[2]9-30'!$L$21+191.08</f>
        <v>3370.3599999999997</v>
      </c>
      <c r="G36" s="27">
        <f>9357.69+'[2]9-30'!$N$21+408.34</f>
        <v>10860.093333333334</v>
      </c>
      <c r="H36" s="27">
        <f t="shared" si="4"/>
        <v>31299.983333333334</v>
      </c>
    </row>
    <row r="37" spans="1:8" x14ac:dyDescent="0.25">
      <c r="A37" s="25" t="s">
        <v>140</v>
      </c>
      <c r="B37" s="27">
        <f>88.11</f>
        <v>88.11</v>
      </c>
      <c r="C37" s="27">
        <f>33.17</f>
        <v>33.17</v>
      </c>
      <c r="D37" s="26"/>
      <c r="E37" s="26"/>
      <c r="F37" s="26"/>
      <c r="G37" s="26"/>
      <c r="H37" s="27">
        <f t="shared" si="4"/>
        <v>121.28</v>
      </c>
    </row>
    <row r="38" spans="1:8" x14ac:dyDescent="0.25">
      <c r="A38" s="25" t="s">
        <v>21</v>
      </c>
      <c r="B38" s="27">
        <f>8422.5+'[2]10-7'!$D$22+'[2]9-30'!$D$22</f>
        <v>10182</v>
      </c>
      <c r="C38" s="27">
        <f>6992.59+'[2]9-30'!$F$22+'[2]10-7'!$F$22</f>
        <v>9744.2666666666664</v>
      </c>
      <c r="D38" s="27">
        <f>7690.5+'[2]9-30'!$H$22+'[2]10-7'!$H$22</f>
        <v>9552</v>
      </c>
      <c r="E38" s="27">
        <f>9620.11+'[2]9-30'!$J$22+'[2]10-7'!$J$22</f>
        <v>20064.400000000001</v>
      </c>
      <c r="F38" s="27">
        <f>7438.76+'[2]9-30'!$L$22+'[2]10-7'!$L$22</f>
        <v>9857.0666666666675</v>
      </c>
      <c r="G38" s="27">
        <f>14312.5+'[2]9-30'!$N$22+'[2]10-7'!$N$22</f>
        <v>16582</v>
      </c>
      <c r="H38" s="27">
        <f t="shared" si="4"/>
        <v>75981.733333333337</v>
      </c>
    </row>
    <row r="39" spans="1:8" x14ac:dyDescent="0.25">
      <c r="A39" s="25" t="s">
        <v>61</v>
      </c>
      <c r="B39" s="27">
        <f>4.76+'[2]10-7'!$D$23+'[2]9-30'!$D$23</f>
        <v>31.733333333333334</v>
      </c>
      <c r="C39" s="27">
        <f>4.79+27.14</f>
        <v>31.93</v>
      </c>
      <c r="D39" s="27">
        <f>5.53+31.34</f>
        <v>36.869999999999997</v>
      </c>
      <c r="E39" s="27">
        <f>15.4+87.27</f>
        <v>102.67</v>
      </c>
      <c r="F39" s="27">
        <f>5.53+31.34</f>
        <v>36.869999999999997</v>
      </c>
      <c r="G39" s="27">
        <f>4.79+27.14</f>
        <v>31.93</v>
      </c>
      <c r="H39" s="27">
        <f t="shared" si="4"/>
        <v>272.00333333333333</v>
      </c>
    </row>
    <row r="40" spans="1:8" x14ac:dyDescent="0.25">
      <c r="A40" s="25" t="s">
        <v>22</v>
      </c>
      <c r="B40" s="27">
        <f>11828.56+'[2]10-7'!$D$24+'[2]9-30'!$D$24</f>
        <v>14247.66</v>
      </c>
      <c r="C40" s="27">
        <f>19662.63+2419.1</f>
        <v>22081.73</v>
      </c>
      <c r="D40" s="27">
        <f>11051.75+3817.24</f>
        <v>14868.99</v>
      </c>
      <c r="E40" s="27">
        <f>13475.72+1030.88</f>
        <v>14506.599999999999</v>
      </c>
      <c r="F40" s="27">
        <f>12698.27+907.35</f>
        <v>13605.62</v>
      </c>
      <c r="G40" s="27">
        <f>10628.01+258</f>
        <v>10886.01</v>
      </c>
      <c r="H40" s="27">
        <f t="shared" si="4"/>
        <v>90196.609999999986</v>
      </c>
    </row>
    <row r="41" spans="1:8" x14ac:dyDescent="0.25">
      <c r="A41" s="25" t="s">
        <v>141</v>
      </c>
      <c r="B41" s="27">
        <f>172.34</f>
        <v>172.34</v>
      </c>
      <c r="C41" s="27">
        <f>64.74</f>
        <v>64.739999999999995</v>
      </c>
      <c r="D41" s="27">
        <f>235.74</f>
        <v>235.74</v>
      </c>
      <c r="E41" s="27">
        <f>82.13</f>
        <v>82.13</v>
      </c>
      <c r="F41" s="27">
        <f>180.68</f>
        <v>180.68</v>
      </c>
      <c r="G41" s="27">
        <f>164.26</f>
        <v>164.26</v>
      </c>
      <c r="H41" s="27">
        <f t="shared" si="4"/>
        <v>899.8900000000001</v>
      </c>
    </row>
    <row r="42" spans="1:8" x14ac:dyDescent="0.25">
      <c r="A42" s="25" t="s">
        <v>23</v>
      </c>
      <c r="B42" s="27">
        <f>284.15</f>
        <v>284.14999999999998</v>
      </c>
      <c r="C42" s="27">
        <f>200</f>
        <v>200</v>
      </c>
      <c r="D42" s="27">
        <f>200</f>
        <v>200</v>
      </c>
      <c r="E42" s="27">
        <f>642.5</f>
        <v>642.5</v>
      </c>
      <c r="F42" s="27">
        <f>200</f>
        <v>200</v>
      </c>
      <c r="G42" s="27">
        <f>410.37</f>
        <v>410.37</v>
      </c>
      <c r="H42" s="27">
        <f t="shared" si="4"/>
        <v>1937.02</v>
      </c>
    </row>
    <row r="43" spans="1:8" x14ac:dyDescent="0.25">
      <c r="A43" s="25" t="s">
        <v>48</v>
      </c>
      <c r="B43" s="26">
        <f>+'[2]10-7'!$D$29+'[2]9-30'!$D$29</f>
        <v>0</v>
      </c>
      <c r="C43" s="26"/>
      <c r="D43" s="26"/>
      <c r="E43" s="26"/>
      <c r="F43" s="27">
        <f>12589.57+1621.52+810.84</f>
        <v>15021.93</v>
      </c>
      <c r="G43" s="26"/>
      <c r="H43" s="27">
        <f t="shared" si="4"/>
        <v>15021.93</v>
      </c>
    </row>
    <row r="44" spans="1:8" x14ac:dyDescent="0.25">
      <c r="A44" s="25" t="s">
        <v>24</v>
      </c>
      <c r="B44" s="26"/>
      <c r="C44" s="26"/>
      <c r="D44" s="26"/>
      <c r="E44" s="26"/>
      <c r="F44" s="26"/>
      <c r="G44" s="26"/>
      <c r="H44" s="27">
        <f t="shared" si="4"/>
        <v>0</v>
      </c>
    </row>
    <row r="45" spans="1:8" x14ac:dyDescent="0.25">
      <c r="A45" s="25" t="s">
        <v>94</v>
      </c>
      <c r="B45" s="26"/>
      <c r="C45" s="26"/>
      <c r="D45" s="27">
        <f>963.2+380.8</f>
        <v>1344</v>
      </c>
      <c r="E45" s="26"/>
      <c r="F45" s="27">
        <f>67.2</f>
        <v>67.2</v>
      </c>
      <c r="G45" s="27">
        <f>67.2+380.8</f>
        <v>448</v>
      </c>
      <c r="H45" s="27">
        <f t="shared" si="4"/>
        <v>1859.2</v>
      </c>
    </row>
    <row r="46" spans="1:8" x14ac:dyDescent="0.25">
      <c r="A46" s="25" t="s">
        <v>50</v>
      </c>
      <c r="B46" s="27">
        <f>608.85</f>
        <v>608.85</v>
      </c>
      <c r="C46" s="27">
        <f>360</f>
        <v>360</v>
      </c>
      <c r="D46" s="27">
        <f>487.68</f>
        <v>487.68</v>
      </c>
      <c r="E46" s="26"/>
      <c r="F46" s="26"/>
      <c r="G46" s="26"/>
      <c r="H46" s="27">
        <f t="shared" si="4"/>
        <v>1456.53</v>
      </c>
    </row>
    <row r="47" spans="1:8" x14ac:dyDescent="0.25">
      <c r="A47" s="25" t="s">
        <v>25</v>
      </c>
      <c r="B47" s="26"/>
      <c r="C47" s="26"/>
      <c r="D47" s="27">
        <f>13877.5</f>
        <v>13877.5</v>
      </c>
      <c r="E47" s="26"/>
      <c r="F47" s="26"/>
      <c r="G47" s="27">
        <f>14200</f>
        <v>14200</v>
      </c>
      <c r="H47" s="27">
        <f t="shared" si="4"/>
        <v>28077.5</v>
      </c>
    </row>
    <row r="48" spans="1:8" x14ac:dyDescent="0.25">
      <c r="A48" s="25" t="s">
        <v>26</v>
      </c>
      <c r="B48" s="28">
        <f t="shared" ref="B48:G48" si="5">(((B44)+(B45))+(B46))+(B47)</f>
        <v>608.85</v>
      </c>
      <c r="C48" s="28">
        <f t="shared" si="5"/>
        <v>360</v>
      </c>
      <c r="D48" s="28">
        <f t="shared" si="5"/>
        <v>15709.18</v>
      </c>
      <c r="E48" s="28">
        <f t="shared" si="5"/>
        <v>0</v>
      </c>
      <c r="F48" s="28">
        <f t="shared" si="5"/>
        <v>67.2</v>
      </c>
      <c r="G48" s="28">
        <f t="shared" si="5"/>
        <v>14648</v>
      </c>
      <c r="H48" s="28">
        <f t="shared" si="4"/>
        <v>31393.23</v>
      </c>
    </row>
    <row r="49" spans="1:10" x14ac:dyDescent="0.25">
      <c r="A49" s="25" t="s">
        <v>27</v>
      </c>
      <c r="B49" s="26"/>
      <c r="C49" s="27">
        <f>65.4+92.65</f>
        <v>158.05000000000001</v>
      </c>
      <c r="D49" s="27">
        <f>1068.06+97.35+48.68</f>
        <v>1214.0899999999999</v>
      </c>
      <c r="E49" s="26"/>
      <c r="F49" s="27">
        <f>4943.98+248.94+61.2</f>
        <v>5254.119999999999</v>
      </c>
      <c r="G49" s="26"/>
      <c r="H49" s="27">
        <f t="shared" si="4"/>
        <v>6626.2599999999984</v>
      </c>
    </row>
    <row r="50" spans="1:10" x14ac:dyDescent="0.25">
      <c r="A50" s="25" t="s">
        <v>142</v>
      </c>
      <c r="B50" s="27">
        <f>123.75</f>
        <v>123.75</v>
      </c>
      <c r="C50" s="27">
        <f>123.75</f>
        <v>123.75</v>
      </c>
      <c r="D50" s="27">
        <f>123.75</f>
        <v>123.75</v>
      </c>
      <c r="E50" s="27">
        <f>123.75</f>
        <v>123.75</v>
      </c>
      <c r="F50" s="27">
        <f>123.75</f>
        <v>123.75</v>
      </c>
      <c r="G50" s="27">
        <f>147.75</f>
        <v>147.75</v>
      </c>
      <c r="H50" s="27">
        <f t="shared" si="4"/>
        <v>766.5</v>
      </c>
    </row>
    <row r="51" spans="1:10" x14ac:dyDescent="0.25">
      <c r="A51" s="25" t="s">
        <v>28</v>
      </c>
      <c r="B51" s="27">
        <f>335.56</f>
        <v>335.56</v>
      </c>
      <c r="C51" s="27">
        <f>11.48</f>
        <v>11.48</v>
      </c>
      <c r="D51" s="27">
        <f>119.2</f>
        <v>119.2</v>
      </c>
      <c r="E51" s="27">
        <f>139</f>
        <v>139</v>
      </c>
      <c r="F51" s="27">
        <f>725.73</f>
        <v>725.73</v>
      </c>
      <c r="G51" s="27">
        <f>2062.07</f>
        <v>2062.0700000000002</v>
      </c>
      <c r="H51" s="27">
        <f t="shared" si="4"/>
        <v>3393.04</v>
      </c>
    </row>
    <row r="52" spans="1:10" x14ac:dyDescent="0.25">
      <c r="A52" s="25" t="s">
        <v>29</v>
      </c>
      <c r="B52" s="27">
        <f>3086.62</f>
        <v>3086.62</v>
      </c>
      <c r="C52" s="27">
        <f>581.73+1233.8</f>
        <v>1815.53</v>
      </c>
      <c r="D52" s="27">
        <f>8998.07+5777.68+1130.5</f>
        <v>15906.25</v>
      </c>
      <c r="E52" s="27">
        <f>1303.92+1413.38+323</f>
        <v>3040.3</v>
      </c>
      <c r="F52" s="27">
        <f>4297.83+8935.37+2499</f>
        <v>15732.2</v>
      </c>
      <c r="G52" s="27">
        <f>2300.62+2624.35</f>
        <v>4924.9699999999993</v>
      </c>
      <c r="H52" s="27">
        <f t="shared" si="4"/>
        <v>44505.87</v>
      </c>
    </row>
    <row r="53" spans="1:10" x14ac:dyDescent="0.25">
      <c r="A53" s="25" t="s">
        <v>30</v>
      </c>
      <c r="B53" s="27">
        <f>50.85</f>
        <v>50.85</v>
      </c>
      <c r="C53" s="27">
        <f>645.85+510+340</f>
        <v>1495.85</v>
      </c>
      <c r="D53" s="27">
        <f>490.86</f>
        <v>490.86</v>
      </c>
      <c r="E53" s="27">
        <f>226.85+969</f>
        <v>1195.8499999999999</v>
      </c>
      <c r="F53" s="27">
        <f>1289.9+364.14</f>
        <v>1654.04</v>
      </c>
      <c r="G53" s="26"/>
      <c r="H53" s="27">
        <f t="shared" si="4"/>
        <v>4887.45</v>
      </c>
    </row>
    <row r="54" spans="1:10" x14ac:dyDescent="0.25">
      <c r="A54" s="25" t="s">
        <v>42</v>
      </c>
      <c r="B54" s="27">
        <f>94.39+'[2]9-30'!$D$34+'[2]10-7'!$D$34</f>
        <v>447.93333333333334</v>
      </c>
      <c r="C54" s="26"/>
      <c r="D54" s="27">
        <f>1558.95+574.32+352.47</f>
        <v>2485.7399999999998</v>
      </c>
      <c r="E54" s="27">
        <f>308.64+486.26+965.49</f>
        <v>1760.3899999999999</v>
      </c>
      <c r="F54" s="27">
        <f>958.39+551.54+39.78</f>
        <v>1549.7099999999998</v>
      </c>
      <c r="G54" s="27">
        <f>2481.48+322.55</f>
        <v>2804.03</v>
      </c>
      <c r="H54" s="27">
        <f t="shared" si="4"/>
        <v>9047.8033333333333</v>
      </c>
    </row>
    <row r="55" spans="1:10" x14ac:dyDescent="0.25">
      <c r="A55" s="25" t="s">
        <v>89</v>
      </c>
      <c r="B55" s="27">
        <f>113.63+'[2]9-30'!$D$35</f>
        <v>757.5333333333333</v>
      </c>
      <c r="C55" s="26"/>
      <c r="D55" s="27"/>
      <c r="E55" s="27">
        <f>2588.75+435.26</f>
        <v>3024.01</v>
      </c>
      <c r="F55" s="27">
        <f>7476.37+520.82</f>
        <v>7997.19</v>
      </c>
      <c r="G55" s="27">
        <f>9401</f>
        <v>9401</v>
      </c>
      <c r="H55" s="27">
        <f t="shared" si="4"/>
        <v>21179.733333333334</v>
      </c>
    </row>
    <row r="56" spans="1:10" x14ac:dyDescent="0.25">
      <c r="A56" s="25" t="s">
        <v>128</v>
      </c>
      <c r="B56" s="27">
        <f>251.77</f>
        <v>251.77</v>
      </c>
      <c r="C56" s="27">
        <f>342.97</f>
        <v>342.97</v>
      </c>
      <c r="D56" s="26"/>
      <c r="E56" s="27">
        <f>767.27</f>
        <v>767.27</v>
      </c>
      <c r="F56" s="27">
        <f>1560.26</f>
        <v>1560.26</v>
      </c>
      <c r="G56" s="27">
        <f>751.02</f>
        <v>751.02</v>
      </c>
      <c r="H56" s="27">
        <f t="shared" si="4"/>
        <v>3673.29</v>
      </c>
      <c r="J56" t="s">
        <v>154</v>
      </c>
    </row>
    <row r="57" spans="1:10" x14ac:dyDescent="0.25">
      <c r="A57" s="25" t="s">
        <v>64</v>
      </c>
      <c r="B57" s="27">
        <f>1033.37+'[2]9-30'!$D$36+'[2]10-7'!$D$35</f>
        <v>2399.0933333333332</v>
      </c>
      <c r="C57" s="26"/>
      <c r="D57" s="27">
        <f>331.81</f>
        <v>331.81</v>
      </c>
      <c r="E57" s="27">
        <f>482.76</f>
        <v>482.76</v>
      </c>
      <c r="F57" s="27">
        <f>258.32+435.26</f>
        <v>693.57999999999993</v>
      </c>
      <c r="G57" s="27">
        <f>736.41+520.82+315.46</f>
        <v>1572.69</v>
      </c>
      <c r="H57" s="27">
        <f t="shared" si="4"/>
        <v>5479.9333333333325</v>
      </c>
    </row>
    <row r="58" spans="1:10" x14ac:dyDescent="0.25">
      <c r="A58" s="25" t="s">
        <v>31</v>
      </c>
      <c r="B58" s="26"/>
      <c r="C58" s="26"/>
      <c r="D58" s="26"/>
      <c r="E58" s="26"/>
      <c r="F58" s="26"/>
      <c r="G58" s="27">
        <f>448.5</f>
        <v>448.5</v>
      </c>
      <c r="H58" s="27">
        <f t="shared" si="4"/>
        <v>448.5</v>
      </c>
    </row>
    <row r="59" spans="1:10" x14ac:dyDescent="0.25">
      <c r="A59" s="25" t="s">
        <v>32</v>
      </c>
      <c r="B59" s="27">
        <f>898.44+'[2]9-30'!$D$37+'[2]10-7'!$D$36</f>
        <v>2071.44</v>
      </c>
      <c r="C59" s="27">
        <f>150.87</f>
        <v>150.87</v>
      </c>
      <c r="D59" s="27">
        <f>300</f>
        <v>300</v>
      </c>
      <c r="E59" s="27">
        <f>1885.35</f>
        <v>1885.35</v>
      </c>
      <c r="F59" s="27">
        <f>949.5</f>
        <v>949.5</v>
      </c>
      <c r="G59" s="27">
        <f>5.33</f>
        <v>5.33</v>
      </c>
      <c r="H59" s="27">
        <f t="shared" si="4"/>
        <v>5362.49</v>
      </c>
    </row>
    <row r="60" spans="1:10" x14ac:dyDescent="0.25">
      <c r="A60" s="25" t="s">
        <v>33</v>
      </c>
      <c r="B60" s="27">
        <f>8679.07+'[2]9-30'!$D$38+'[2]10-7'!$D$37</f>
        <v>12121.57</v>
      </c>
      <c r="C60" s="27">
        <f>5692.67+1020+1530</f>
        <v>8242.67</v>
      </c>
      <c r="D60" s="27">
        <f>6109.07+510+1147.5</f>
        <v>7766.57</v>
      </c>
      <c r="E60" s="27">
        <f>7231.65+1020+1147.5</f>
        <v>9399.15</v>
      </c>
      <c r="F60" s="27">
        <f>7705.9+1083.75+1147.5</f>
        <v>9937.15</v>
      </c>
      <c r="G60" s="27">
        <f>14852.92+748.85+126.82</f>
        <v>15728.59</v>
      </c>
      <c r="H60" s="27">
        <f t="shared" si="4"/>
        <v>63195.7</v>
      </c>
    </row>
    <row r="61" spans="1:10" x14ac:dyDescent="0.25">
      <c r="A61" s="25" t="s">
        <v>143</v>
      </c>
      <c r="B61" s="27">
        <f>53.93</f>
        <v>53.93</v>
      </c>
      <c r="C61" s="27">
        <f>10.85</f>
        <v>10.85</v>
      </c>
      <c r="D61" s="27">
        <f>45.9</f>
        <v>45.9</v>
      </c>
      <c r="E61" s="27">
        <f>52.57</f>
        <v>52.57</v>
      </c>
      <c r="F61" s="27">
        <f>2.91</f>
        <v>2.91</v>
      </c>
      <c r="G61" s="27">
        <f>47.63</f>
        <v>47.63</v>
      </c>
      <c r="H61" s="27">
        <f t="shared" si="4"/>
        <v>213.79</v>
      </c>
    </row>
    <row r="62" spans="1:10" x14ac:dyDescent="0.25">
      <c r="A62" s="25" t="s">
        <v>65</v>
      </c>
      <c r="B62" s="27">
        <f>16171.38</f>
        <v>16171.38</v>
      </c>
      <c r="C62" s="26"/>
      <c r="D62" s="26"/>
      <c r="E62" s="26"/>
      <c r="F62" s="27">
        <f>76640.25</f>
        <v>76640.25</v>
      </c>
      <c r="G62" s="27">
        <f>30132+3176.9</f>
        <v>33308.9</v>
      </c>
      <c r="H62" s="27">
        <f t="shared" si="4"/>
        <v>126120.53</v>
      </c>
    </row>
    <row r="63" spans="1:10" x14ac:dyDescent="0.25">
      <c r="A63" s="25" t="s">
        <v>34</v>
      </c>
      <c r="B63" s="28">
        <f t="shared" ref="B63:G63" si="6">((((((((((((((((((((((((B34)+(B35))+(B36))+(B37))+(B38))+(B39))+(B40))+(B41))+(B42))+(B43))+(B48))+(B49))+(B50))+(B51))+(B52))+(B53))+(B54))+(B55))+(B56))+(B57))+(B58))+(B59))+(B60))+(B61))+(B62)</f>
        <v>68221.343333333338</v>
      </c>
      <c r="C63" s="28">
        <f t="shared" si="6"/>
        <v>50056.633333333339</v>
      </c>
      <c r="D63" s="28">
        <f t="shared" si="6"/>
        <v>72066.323333333319</v>
      </c>
      <c r="E63" s="28">
        <f t="shared" si="6"/>
        <v>62476.07666666666</v>
      </c>
      <c r="F63" s="28">
        <f t="shared" si="6"/>
        <v>165171.11666666667</v>
      </c>
      <c r="G63" s="28">
        <f t="shared" si="6"/>
        <v>124785.14333333334</v>
      </c>
      <c r="H63" s="28">
        <f t="shared" si="4"/>
        <v>542776.6366666666</v>
      </c>
    </row>
    <row r="64" spans="1:10" x14ac:dyDescent="0.25">
      <c r="A64" s="25" t="s">
        <v>35</v>
      </c>
      <c r="B64" s="28">
        <f t="shared" ref="B64:G64" si="7">(B33)+(B63)</f>
        <v>68221.343333333338</v>
      </c>
      <c r="C64" s="28">
        <f t="shared" si="7"/>
        <v>50056.633333333339</v>
      </c>
      <c r="D64" s="28">
        <f t="shared" si="7"/>
        <v>72066.323333333319</v>
      </c>
      <c r="E64" s="28">
        <f t="shared" si="7"/>
        <v>62476.07666666666</v>
      </c>
      <c r="F64" s="28">
        <f t="shared" si="7"/>
        <v>165171.11666666667</v>
      </c>
      <c r="G64" s="28">
        <f t="shared" si="7"/>
        <v>124785.14333333334</v>
      </c>
      <c r="H64" s="28">
        <f t="shared" si="4"/>
        <v>542776.6366666666</v>
      </c>
    </row>
    <row r="65" spans="1:8" x14ac:dyDescent="0.25">
      <c r="A65" s="25" t="s">
        <v>36</v>
      </c>
      <c r="B65" s="28">
        <f t="shared" ref="B65:G65" si="8">(((B27)-(B64))+(0))-(0)</f>
        <v>92853.287833333321</v>
      </c>
      <c r="C65" s="28">
        <f t="shared" si="8"/>
        <v>77258.25</v>
      </c>
      <c r="D65" s="28">
        <f t="shared" si="8"/>
        <v>69779.480000000025</v>
      </c>
      <c r="E65" s="28">
        <f t="shared" si="8"/>
        <v>130121.58333333331</v>
      </c>
      <c r="F65" s="28">
        <f t="shared" si="8"/>
        <v>11740.633333333331</v>
      </c>
      <c r="G65" s="28">
        <f t="shared" si="8"/>
        <v>-55922.450000000012</v>
      </c>
      <c r="H65" s="28">
        <f t="shared" si="4"/>
        <v>325830.78450000001</v>
      </c>
    </row>
    <row r="66" spans="1:8" x14ac:dyDescent="0.25">
      <c r="A66" s="25"/>
      <c r="B66" s="26"/>
      <c r="C66" s="26"/>
      <c r="D66" s="26"/>
      <c r="E66" s="26"/>
      <c r="F66" s="26"/>
      <c r="G66" s="26"/>
      <c r="H66" s="26"/>
    </row>
    <row r="69" spans="1:8" x14ac:dyDescent="0.25">
      <c r="A69" s="29" t="s">
        <v>155</v>
      </c>
      <c r="B69" s="2"/>
      <c r="C69" s="2"/>
      <c r="D69" s="2"/>
      <c r="E69" s="2"/>
      <c r="F69" s="2"/>
      <c r="G69" s="2"/>
      <c r="H69" s="2"/>
    </row>
  </sheetData>
  <mergeCells count="4">
    <mergeCell ref="A1:H1"/>
    <mergeCell ref="A2:H2"/>
    <mergeCell ref="A3:H3"/>
    <mergeCell ref="A69:H6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452CC-CE4E-4EFD-8FC0-D8607BF6CE46}">
  <dimension ref="A1:H39"/>
  <sheetViews>
    <sheetView topLeftCell="A16" workbookViewId="0">
      <selection activeCell="G14" sqref="G14"/>
    </sheetView>
  </sheetViews>
  <sheetFormatPr defaultRowHeight="15" x14ac:dyDescent="0.25"/>
  <cols>
    <col min="1" max="1" width="30.140625" customWidth="1"/>
    <col min="2" max="7" width="8.570312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73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8663.18</f>
        <v>8663.18</v>
      </c>
      <c r="C9" s="27">
        <f>5304.95</f>
        <v>5304.95</v>
      </c>
      <c r="D9" s="27">
        <f>7551.54</f>
        <v>7551.54</v>
      </c>
      <c r="E9" s="27">
        <f>9184.92</f>
        <v>9184.92</v>
      </c>
      <c r="F9" s="27">
        <f>8501.3</f>
        <v>8501.2999999999993</v>
      </c>
      <c r="G9" s="27">
        <f>6829.38</f>
        <v>6829.38</v>
      </c>
      <c r="H9" s="27">
        <f t="shared" si="0"/>
        <v>46035.27</v>
      </c>
    </row>
    <row r="10" spans="1:8" x14ac:dyDescent="0.25">
      <c r="A10" s="25" t="s">
        <v>14</v>
      </c>
      <c r="B10" s="28">
        <f t="shared" ref="B10:G10" si="1">(B8)+(B9)</f>
        <v>8663.18</v>
      </c>
      <c r="C10" s="28">
        <f t="shared" si="1"/>
        <v>5304.95</v>
      </c>
      <c r="D10" s="28">
        <f t="shared" si="1"/>
        <v>7551.54</v>
      </c>
      <c r="E10" s="28">
        <f t="shared" si="1"/>
        <v>9184.92</v>
      </c>
      <c r="F10" s="28">
        <f t="shared" si="1"/>
        <v>8501.2999999999993</v>
      </c>
      <c r="G10" s="28">
        <f t="shared" si="1"/>
        <v>6829.38</v>
      </c>
      <c r="H10" s="28">
        <f t="shared" si="0"/>
        <v>46035.27</v>
      </c>
    </row>
    <row r="11" spans="1:8" x14ac:dyDescent="0.25">
      <c r="A11" s="25" t="s">
        <v>15</v>
      </c>
      <c r="B11" s="28">
        <f t="shared" ref="B11:G11" si="2">(B7)+(B10)</f>
        <v>8663.18</v>
      </c>
      <c r="C11" s="28">
        <f t="shared" si="2"/>
        <v>5304.95</v>
      </c>
      <c r="D11" s="28">
        <f t="shared" si="2"/>
        <v>7551.54</v>
      </c>
      <c r="E11" s="28">
        <f t="shared" si="2"/>
        <v>9184.92</v>
      </c>
      <c r="F11" s="28">
        <f t="shared" si="2"/>
        <v>8501.2999999999993</v>
      </c>
      <c r="G11" s="28">
        <f t="shared" si="2"/>
        <v>6829.38</v>
      </c>
      <c r="H11" s="28">
        <f t="shared" si="0"/>
        <v>46035.27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f t="shared" si="0"/>
        <v>0</v>
      </c>
    </row>
    <row r="14" spans="1:8" x14ac:dyDescent="0.25">
      <c r="A14" s="25" t="s">
        <v>41</v>
      </c>
      <c r="B14" s="28">
        <f t="shared" ref="B14:G14" si="3">(B12)+(B13)</f>
        <v>0</v>
      </c>
      <c r="C14" s="28">
        <f t="shared" si="3"/>
        <v>0</v>
      </c>
      <c r="D14" s="28">
        <f t="shared" si="3"/>
        <v>0</v>
      </c>
      <c r="E14" s="28">
        <f t="shared" si="3"/>
        <v>0</v>
      </c>
      <c r="F14" s="28">
        <f t="shared" si="3"/>
        <v>0</v>
      </c>
      <c r="G14" s="28">
        <f t="shared" si="3"/>
        <v>0</v>
      </c>
      <c r="H14" s="28">
        <f t="shared" si="0"/>
        <v>0</v>
      </c>
    </row>
    <row r="15" spans="1:8" x14ac:dyDescent="0.25">
      <c r="A15" s="25" t="s">
        <v>16</v>
      </c>
      <c r="B15" s="28">
        <f t="shared" ref="B15:G15" si="4">(B11)+(B14)</f>
        <v>8663.18</v>
      </c>
      <c r="C15" s="28">
        <f t="shared" si="4"/>
        <v>5304.95</v>
      </c>
      <c r="D15" s="28">
        <f t="shared" si="4"/>
        <v>7551.54</v>
      </c>
      <c r="E15" s="28">
        <f t="shared" si="4"/>
        <v>9184.92</v>
      </c>
      <c r="F15" s="28">
        <f t="shared" si="4"/>
        <v>8501.2999999999993</v>
      </c>
      <c r="G15" s="28">
        <f t="shared" si="4"/>
        <v>6829.38</v>
      </c>
      <c r="H15" s="28">
        <f t="shared" si="0"/>
        <v>46035.27</v>
      </c>
    </row>
    <row r="16" spans="1:8" x14ac:dyDescent="0.25">
      <c r="A16" s="25" t="s">
        <v>17</v>
      </c>
      <c r="B16" s="28">
        <f t="shared" ref="B16:G16" si="5">(B15)-(0)</f>
        <v>8663.18</v>
      </c>
      <c r="C16" s="28">
        <f t="shared" si="5"/>
        <v>5304.95</v>
      </c>
      <c r="D16" s="28">
        <f t="shared" si="5"/>
        <v>7551.54</v>
      </c>
      <c r="E16" s="28">
        <f t="shared" si="5"/>
        <v>9184.92</v>
      </c>
      <c r="F16" s="28">
        <f t="shared" si="5"/>
        <v>8501.2999999999993</v>
      </c>
      <c r="G16" s="28">
        <f t="shared" si="5"/>
        <v>6829.38</v>
      </c>
      <c r="H16" s="28">
        <f t="shared" si="0"/>
        <v>46035.27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35" si="6">(((((B18)+(C18))+(D18))+(E18))+(F18))+(G18)</f>
        <v>0</v>
      </c>
    </row>
    <row r="19" spans="1:8" x14ac:dyDescent="0.25">
      <c r="A19" s="25" t="s">
        <v>20</v>
      </c>
      <c r="B19" s="27">
        <f>139.26</f>
        <v>139.26</v>
      </c>
      <c r="C19" s="27">
        <f>557.02</f>
        <v>557.02</v>
      </c>
      <c r="D19" s="26"/>
      <c r="E19" s="27">
        <f>139.26</f>
        <v>139.26</v>
      </c>
      <c r="F19" s="27">
        <f>278.51</f>
        <v>278.51</v>
      </c>
      <c r="G19" s="27">
        <f>557.01</f>
        <v>557.01</v>
      </c>
      <c r="H19" s="27">
        <f t="shared" si="6"/>
        <v>1671.06</v>
      </c>
    </row>
    <row r="20" spans="1:8" x14ac:dyDescent="0.25">
      <c r="A20" s="25" t="s">
        <v>21</v>
      </c>
      <c r="B20" s="27">
        <f>430.46</f>
        <v>430.46</v>
      </c>
      <c r="C20" s="27">
        <f>334.55</f>
        <v>334.55</v>
      </c>
      <c r="D20" s="27">
        <f>430.45</f>
        <v>430.45</v>
      </c>
      <c r="E20" s="27">
        <f>395.45</f>
        <v>395.45</v>
      </c>
      <c r="F20" s="27">
        <f>385</f>
        <v>385</v>
      </c>
      <c r="G20" s="27">
        <f>812.28</f>
        <v>812.28</v>
      </c>
      <c r="H20" s="27">
        <f t="shared" si="6"/>
        <v>2788.19</v>
      </c>
    </row>
    <row r="21" spans="1:8" x14ac:dyDescent="0.25">
      <c r="A21" s="25" t="s">
        <v>22</v>
      </c>
      <c r="B21" s="27">
        <f>283.1</f>
        <v>283.10000000000002</v>
      </c>
      <c r="C21" s="27">
        <f>484.29</f>
        <v>484.29</v>
      </c>
      <c r="D21" s="27">
        <f>340.83</f>
        <v>340.83</v>
      </c>
      <c r="E21" s="27">
        <f>293.49</f>
        <v>293.49</v>
      </c>
      <c r="F21" s="27">
        <f>390.88</f>
        <v>390.88</v>
      </c>
      <c r="G21" s="27">
        <f>292.22</f>
        <v>292.22000000000003</v>
      </c>
      <c r="H21" s="27">
        <f t="shared" si="6"/>
        <v>2084.8100000000004</v>
      </c>
    </row>
    <row r="22" spans="1:8" x14ac:dyDescent="0.25">
      <c r="A22" s="25" t="s">
        <v>24</v>
      </c>
      <c r="B22" s="26"/>
      <c r="C22" s="26"/>
      <c r="D22" s="26"/>
      <c r="E22" s="26"/>
      <c r="F22" s="26"/>
      <c r="G22" s="26"/>
      <c r="H22" s="27">
        <f t="shared" si="6"/>
        <v>0</v>
      </c>
    </row>
    <row r="23" spans="1:8" x14ac:dyDescent="0.25">
      <c r="A23" s="25" t="s">
        <v>25</v>
      </c>
      <c r="B23" s="26"/>
      <c r="C23" s="26"/>
      <c r="D23" s="26"/>
      <c r="E23" s="26"/>
      <c r="F23" s="26"/>
      <c r="G23" s="27">
        <f>2040</f>
        <v>2040</v>
      </c>
      <c r="H23" s="27">
        <f t="shared" si="6"/>
        <v>2040</v>
      </c>
    </row>
    <row r="24" spans="1:8" x14ac:dyDescent="0.25">
      <c r="A24" s="25" t="s">
        <v>26</v>
      </c>
      <c r="B24" s="28">
        <f t="shared" ref="B24:G24" si="7">(B22)+(B23)</f>
        <v>0</v>
      </c>
      <c r="C24" s="28">
        <f t="shared" si="7"/>
        <v>0</v>
      </c>
      <c r="D24" s="28">
        <f t="shared" si="7"/>
        <v>0</v>
      </c>
      <c r="E24" s="28">
        <f t="shared" si="7"/>
        <v>0</v>
      </c>
      <c r="F24" s="28">
        <f t="shared" si="7"/>
        <v>0</v>
      </c>
      <c r="G24" s="28">
        <f t="shared" si="7"/>
        <v>2040</v>
      </c>
      <c r="H24" s="28">
        <f t="shared" si="6"/>
        <v>2040</v>
      </c>
    </row>
    <row r="25" spans="1:8" x14ac:dyDescent="0.25">
      <c r="A25" s="25" t="s">
        <v>27</v>
      </c>
      <c r="B25" s="26"/>
      <c r="C25" s="26"/>
      <c r="D25" s="27">
        <f>57.3</f>
        <v>57.3</v>
      </c>
      <c r="E25" s="26"/>
      <c r="F25" s="27">
        <f>324.06</f>
        <v>324.06</v>
      </c>
      <c r="G25" s="26"/>
      <c r="H25" s="27">
        <f t="shared" si="6"/>
        <v>381.36</v>
      </c>
    </row>
    <row r="26" spans="1:8" x14ac:dyDescent="0.25">
      <c r="A26" s="25" t="s">
        <v>28</v>
      </c>
      <c r="B26" s="26"/>
      <c r="C26" s="26"/>
      <c r="D26" s="26"/>
      <c r="E26" s="26"/>
      <c r="F26" s="26"/>
      <c r="G26" s="27">
        <f>95.14</f>
        <v>95.14</v>
      </c>
      <c r="H26" s="27">
        <f t="shared" si="6"/>
        <v>95.14</v>
      </c>
    </row>
    <row r="27" spans="1:8" x14ac:dyDescent="0.25">
      <c r="A27" s="25" t="s">
        <v>30</v>
      </c>
      <c r="B27" s="26"/>
      <c r="C27" s="26"/>
      <c r="D27" s="26"/>
      <c r="E27" s="26"/>
      <c r="F27" s="27">
        <f>115.91</f>
        <v>115.91</v>
      </c>
      <c r="G27" s="26"/>
      <c r="H27" s="27">
        <f t="shared" si="6"/>
        <v>115.91</v>
      </c>
    </row>
    <row r="28" spans="1:8" x14ac:dyDescent="0.25">
      <c r="A28" s="25" t="s">
        <v>64</v>
      </c>
      <c r="B28" s="26"/>
      <c r="C28" s="26"/>
      <c r="D28" s="26"/>
      <c r="E28" s="26"/>
      <c r="F28" s="26"/>
      <c r="G28" s="27">
        <f>204.75</f>
        <v>204.75</v>
      </c>
      <c r="H28" s="27">
        <f t="shared" si="6"/>
        <v>204.75</v>
      </c>
    </row>
    <row r="29" spans="1:8" x14ac:dyDescent="0.25">
      <c r="A29" s="25" t="s">
        <v>31</v>
      </c>
      <c r="B29" s="26"/>
      <c r="C29" s="26"/>
      <c r="D29" s="26"/>
      <c r="E29" s="26"/>
      <c r="F29" s="26"/>
      <c r="G29" s="27">
        <f>70.04</f>
        <v>70.040000000000006</v>
      </c>
      <c r="H29" s="27">
        <f t="shared" si="6"/>
        <v>70.040000000000006</v>
      </c>
    </row>
    <row r="30" spans="1:8" x14ac:dyDescent="0.25">
      <c r="A30" s="25" t="s">
        <v>32</v>
      </c>
      <c r="B30" s="26"/>
      <c r="C30" s="26"/>
      <c r="D30" s="26"/>
      <c r="E30" s="27">
        <f>79.95</f>
        <v>79.95</v>
      </c>
      <c r="F30" s="26"/>
      <c r="G30" s="26"/>
      <c r="H30" s="27">
        <f t="shared" si="6"/>
        <v>79.95</v>
      </c>
    </row>
    <row r="31" spans="1:8" x14ac:dyDescent="0.25">
      <c r="A31" s="25" t="s">
        <v>33</v>
      </c>
      <c r="B31" s="27">
        <f>465.41</f>
        <v>465.41</v>
      </c>
      <c r="C31" s="27">
        <f>260.5</f>
        <v>260.5</v>
      </c>
      <c r="D31" s="27">
        <f>330.84</f>
        <v>330.84</v>
      </c>
      <c r="E31" s="27">
        <f>362.64</f>
        <v>362.64</v>
      </c>
      <c r="F31" s="27">
        <f>385.97</f>
        <v>385.97</v>
      </c>
      <c r="G31" s="27">
        <f>888.17</f>
        <v>888.17</v>
      </c>
      <c r="H31" s="27">
        <f t="shared" si="6"/>
        <v>2693.5299999999997</v>
      </c>
    </row>
    <row r="32" spans="1:8" x14ac:dyDescent="0.25">
      <c r="A32" s="25" t="s">
        <v>65</v>
      </c>
      <c r="B32" s="26"/>
      <c r="C32" s="26"/>
      <c r="D32" s="26"/>
      <c r="E32" s="26"/>
      <c r="F32" s="27">
        <f>3540</f>
        <v>3540</v>
      </c>
      <c r="G32" s="26"/>
      <c r="H32" s="27">
        <f t="shared" si="6"/>
        <v>3540</v>
      </c>
    </row>
    <row r="33" spans="1:8" x14ac:dyDescent="0.25">
      <c r="A33" s="25" t="s">
        <v>34</v>
      </c>
      <c r="B33" s="28">
        <f t="shared" ref="B33:G33" si="8">((((((((((((B18)+(B19))+(B20))+(B21))+(B24))+(B25))+(B26))+(B27))+(B28))+(B29))+(B30))+(B31))+(B32)</f>
        <v>1318.23</v>
      </c>
      <c r="C33" s="28">
        <f t="shared" si="8"/>
        <v>1636.36</v>
      </c>
      <c r="D33" s="28">
        <f t="shared" si="8"/>
        <v>1159.4199999999998</v>
      </c>
      <c r="E33" s="28">
        <f t="shared" si="8"/>
        <v>1270.79</v>
      </c>
      <c r="F33" s="28">
        <f t="shared" si="8"/>
        <v>5420.33</v>
      </c>
      <c r="G33" s="28">
        <f t="shared" si="8"/>
        <v>4959.6099999999997</v>
      </c>
      <c r="H33" s="28">
        <f t="shared" si="6"/>
        <v>15764.740000000002</v>
      </c>
    </row>
    <row r="34" spans="1:8" x14ac:dyDescent="0.25">
      <c r="A34" s="25" t="s">
        <v>35</v>
      </c>
      <c r="B34" s="28">
        <f t="shared" ref="B34:G34" si="9">B33</f>
        <v>1318.23</v>
      </c>
      <c r="C34" s="28">
        <f t="shared" si="9"/>
        <v>1636.36</v>
      </c>
      <c r="D34" s="28">
        <f t="shared" si="9"/>
        <v>1159.4199999999998</v>
      </c>
      <c r="E34" s="28">
        <f t="shared" si="9"/>
        <v>1270.79</v>
      </c>
      <c r="F34" s="28">
        <f t="shared" si="9"/>
        <v>5420.33</v>
      </c>
      <c r="G34" s="28">
        <f t="shared" si="9"/>
        <v>4959.6099999999997</v>
      </c>
      <c r="H34" s="28">
        <f t="shared" si="6"/>
        <v>15764.740000000002</v>
      </c>
    </row>
    <row r="35" spans="1:8" x14ac:dyDescent="0.25">
      <c r="A35" s="25" t="s">
        <v>36</v>
      </c>
      <c r="B35" s="28">
        <f t="shared" ref="B35:G35" si="10">(((B16)-(B34))+(0))-(0)</f>
        <v>7344.9500000000007</v>
      </c>
      <c r="C35" s="28">
        <f t="shared" si="10"/>
        <v>3668.59</v>
      </c>
      <c r="D35" s="28">
        <f t="shared" si="10"/>
        <v>6392.12</v>
      </c>
      <c r="E35" s="28">
        <f t="shared" si="10"/>
        <v>7914.13</v>
      </c>
      <c r="F35" s="28">
        <f t="shared" si="10"/>
        <v>3080.9699999999993</v>
      </c>
      <c r="G35" s="28">
        <f t="shared" si="10"/>
        <v>1869.7700000000004</v>
      </c>
      <c r="H35" s="28">
        <f t="shared" si="6"/>
        <v>30270.530000000002</v>
      </c>
    </row>
    <row r="36" spans="1:8" x14ac:dyDescent="0.25">
      <c r="A36" s="25"/>
      <c r="B36" s="26"/>
      <c r="C36" s="26"/>
      <c r="D36" s="26"/>
      <c r="E36" s="26"/>
      <c r="F36" s="26"/>
      <c r="G36" s="26"/>
      <c r="H36" s="26"/>
    </row>
    <row r="39" spans="1:8" x14ac:dyDescent="0.25">
      <c r="A39" s="29" t="s">
        <v>74</v>
      </c>
      <c r="B39" s="2"/>
      <c r="C39" s="2"/>
      <c r="D39" s="2"/>
      <c r="E39" s="2"/>
      <c r="F39" s="2"/>
      <c r="G39" s="2"/>
      <c r="H39" s="2"/>
    </row>
  </sheetData>
  <mergeCells count="4">
    <mergeCell ref="A1:H1"/>
    <mergeCell ref="A2:H2"/>
    <mergeCell ref="A3:H3"/>
    <mergeCell ref="A39:H3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9283E-3462-4BE6-9D6D-18DE2D602EA9}">
  <dimension ref="A1:H15"/>
  <sheetViews>
    <sheetView workbookViewId="0">
      <selection activeCell="I12" sqref="I12"/>
    </sheetView>
  </sheetViews>
  <sheetFormatPr defaultRowHeight="15" x14ac:dyDescent="0.25"/>
  <cols>
    <col min="1" max="1" width="21.42578125" customWidth="1"/>
    <col min="2" max="5" width="7.7109375" customWidth="1"/>
    <col min="6" max="6" width="8.5703125" customWidth="1"/>
    <col min="7" max="7" width="7.7109375" customWidth="1"/>
    <col min="8" max="8" width="8.57031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69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18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19</v>
      </c>
      <c r="B7" s="26"/>
      <c r="C7" s="26"/>
      <c r="D7" s="26"/>
      <c r="E7" s="26"/>
      <c r="F7" s="26"/>
      <c r="G7" s="26"/>
      <c r="H7" s="27">
        <f>(((((B7)+(C7))+(D7))+(E7))+(F7))+(G7)</f>
        <v>0</v>
      </c>
    </row>
    <row r="8" spans="1:8" x14ac:dyDescent="0.25">
      <c r="A8" s="25" t="s">
        <v>27</v>
      </c>
      <c r="B8" s="26"/>
      <c r="C8" s="26"/>
      <c r="D8" s="27">
        <f>57.3</f>
        <v>57.3</v>
      </c>
      <c r="E8" s="26"/>
      <c r="F8" s="27">
        <f>324.06</f>
        <v>324.06</v>
      </c>
      <c r="G8" s="26"/>
      <c r="H8" s="27">
        <f>(((((B8)+(C8))+(D8))+(E8))+(F8))+(G8)</f>
        <v>381.36</v>
      </c>
    </row>
    <row r="9" spans="1:8" x14ac:dyDescent="0.25">
      <c r="A9" s="25" t="s">
        <v>34</v>
      </c>
      <c r="B9" s="28">
        <f t="shared" ref="B9:G9" si="0">(B7)+(B8)</f>
        <v>0</v>
      </c>
      <c r="C9" s="28">
        <f t="shared" si="0"/>
        <v>0</v>
      </c>
      <c r="D9" s="28">
        <f t="shared" si="0"/>
        <v>57.3</v>
      </c>
      <c r="E9" s="28">
        <f t="shared" si="0"/>
        <v>0</v>
      </c>
      <c r="F9" s="28">
        <f t="shared" si="0"/>
        <v>324.06</v>
      </c>
      <c r="G9" s="28">
        <f t="shared" si="0"/>
        <v>0</v>
      </c>
      <c r="H9" s="28">
        <f>(((((B9)+(C9))+(D9))+(E9))+(F9))+(G9)</f>
        <v>381.36</v>
      </c>
    </row>
    <row r="10" spans="1:8" x14ac:dyDescent="0.25">
      <c r="A10" s="25" t="s">
        <v>35</v>
      </c>
      <c r="B10" s="28">
        <f t="shared" ref="B10:G10" si="1">B9</f>
        <v>0</v>
      </c>
      <c r="C10" s="28">
        <f t="shared" si="1"/>
        <v>0</v>
      </c>
      <c r="D10" s="28">
        <f t="shared" si="1"/>
        <v>57.3</v>
      </c>
      <c r="E10" s="28">
        <f t="shared" si="1"/>
        <v>0</v>
      </c>
      <c r="F10" s="28">
        <f t="shared" si="1"/>
        <v>324.06</v>
      </c>
      <c r="G10" s="28">
        <f t="shared" si="1"/>
        <v>0</v>
      </c>
      <c r="H10" s="28">
        <f>(((((B10)+(C10))+(D10))+(E10))+(F10))+(G10)</f>
        <v>381.36</v>
      </c>
    </row>
    <row r="11" spans="1:8" x14ac:dyDescent="0.25">
      <c r="A11" s="25" t="s">
        <v>36</v>
      </c>
      <c r="B11" s="28">
        <f t="shared" ref="B11:G11" si="2">(((0)-(B10))+(0))-(0)</f>
        <v>0</v>
      </c>
      <c r="C11" s="28">
        <f t="shared" si="2"/>
        <v>0</v>
      </c>
      <c r="D11" s="28">
        <f t="shared" si="2"/>
        <v>-57.3</v>
      </c>
      <c r="E11" s="28">
        <f t="shared" si="2"/>
        <v>0</v>
      </c>
      <c r="F11" s="28">
        <f t="shared" si="2"/>
        <v>-324.06</v>
      </c>
      <c r="G11" s="28">
        <f t="shared" si="2"/>
        <v>0</v>
      </c>
      <c r="H11" s="28">
        <f>(((((B11)+(C11))+(D11))+(E11))+(F11))+(G11)</f>
        <v>-381.36</v>
      </c>
    </row>
    <row r="12" spans="1:8" x14ac:dyDescent="0.25">
      <c r="A12" s="25"/>
      <c r="B12" s="26"/>
      <c r="C12" s="26"/>
      <c r="D12" s="26"/>
      <c r="E12" s="26"/>
      <c r="F12" s="26"/>
      <c r="G12" s="26"/>
      <c r="H12" s="26"/>
    </row>
    <row r="15" spans="1:8" x14ac:dyDescent="0.25">
      <c r="A15" s="29" t="s">
        <v>70</v>
      </c>
      <c r="B15" s="2"/>
      <c r="C15" s="2"/>
      <c r="D15" s="2"/>
      <c r="E15" s="2"/>
      <c r="F15" s="2"/>
      <c r="G15" s="2"/>
      <c r="H15" s="2"/>
    </row>
  </sheetData>
  <mergeCells count="4">
    <mergeCell ref="A1:H1"/>
    <mergeCell ref="A2:H2"/>
    <mergeCell ref="A3:H3"/>
    <mergeCell ref="A15:H1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C4BB6-FC5A-488E-B416-2B6E69BB6AFE}">
  <dimension ref="A1:H18"/>
  <sheetViews>
    <sheetView workbookViewId="0">
      <selection activeCell="J10" sqref="J10"/>
    </sheetView>
  </sheetViews>
  <sheetFormatPr defaultRowHeight="15" x14ac:dyDescent="0.25"/>
  <cols>
    <col min="1" max="1" width="24" customWidth="1"/>
    <col min="2" max="3" width="7.7109375" customWidth="1"/>
    <col min="4" max="4" width="10.28515625" customWidth="1"/>
    <col min="5" max="7" width="7.7109375" customWidth="1"/>
    <col min="8" max="8" width="10.28515625" customWidth="1"/>
  </cols>
  <sheetData>
    <row r="1" spans="1:8" ht="1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1" t="s">
        <v>46</v>
      </c>
      <c r="B2" s="2"/>
      <c r="C2" s="2"/>
      <c r="D2" s="2"/>
      <c r="E2" s="2"/>
      <c r="F2" s="2"/>
      <c r="G2" s="2"/>
      <c r="H2" s="2"/>
    </row>
    <row r="3" spans="1:8" x14ac:dyDescent="0.25">
      <c r="A3" s="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</row>
    <row r="6" spans="1:8" x14ac:dyDescent="0.25">
      <c r="A6" s="6" t="s">
        <v>18</v>
      </c>
      <c r="B6" s="7"/>
      <c r="C6" s="7"/>
      <c r="D6" s="7"/>
      <c r="E6" s="7"/>
      <c r="F6" s="7"/>
      <c r="G6" s="7"/>
      <c r="H6" s="7"/>
    </row>
    <row r="7" spans="1:8" x14ac:dyDescent="0.25">
      <c r="A7" s="6" t="s">
        <v>19</v>
      </c>
      <c r="B7" s="7"/>
      <c r="C7" s="7"/>
      <c r="D7" s="7"/>
      <c r="E7" s="7"/>
      <c r="F7" s="7"/>
      <c r="G7" s="7"/>
      <c r="H7" s="8">
        <f t="shared" ref="H7:H14" si="0">(((((B7)+(C7))+(D7))+(E7))+(F7))+(G7)</f>
        <v>0</v>
      </c>
    </row>
    <row r="8" spans="1:8" x14ac:dyDescent="0.25">
      <c r="A8" s="6" t="s">
        <v>24</v>
      </c>
      <c r="B8" s="7"/>
      <c r="C8" s="7"/>
      <c r="D8" s="7"/>
      <c r="E8" s="7"/>
      <c r="F8" s="7"/>
      <c r="G8" s="7"/>
      <c r="H8" s="8">
        <f t="shared" si="0"/>
        <v>0</v>
      </c>
    </row>
    <row r="9" spans="1:8" x14ac:dyDescent="0.25">
      <c r="A9" s="6" t="s">
        <v>25</v>
      </c>
      <c r="B9" s="7"/>
      <c r="C9" s="7"/>
      <c r="D9" s="8">
        <f>4600</f>
        <v>4600</v>
      </c>
      <c r="E9" s="7"/>
      <c r="F9" s="7"/>
      <c r="G9" s="7"/>
      <c r="H9" s="8">
        <f t="shared" si="0"/>
        <v>4600</v>
      </c>
    </row>
    <row r="10" spans="1:8" x14ac:dyDescent="0.25">
      <c r="A10" s="6" t="s">
        <v>26</v>
      </c>
      <c r="B10" s="9">
        <f t="shared" ref="B10:G10" si="1">(B8)+(B9)</f>
        <v>0</v>
      </c>
      <c r="C10" s="9">
        <f t="shared" si="1"/>
        <v>0</v>
      </c>
      <c r="D10" s="9">
        <f t="shared" si="1"/>
        <v>4600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0"/>
        <v>4600</v>
      </c>
    </row>
    <row r="11" spans="1:8" x14ac:dyDescent="0.25">
      <c r="A11" s="6" t="s">
        <v>27</v>
      </c>
      <c r="B11" s="7"/>
      <c r="C11" s="7"/>
      <c r="D11" s="7"/>
      <c r="E11" s="7"/>
      <c r="F11" s="8">
        <f>36.56</f>
        <v>36.56</v>
      </c>
      <c r="G11" s="7"/>
      <c r="H11" s="8">
        <f t="shared" si="0"/>
        <v>36.56</v>
      </c>
    </row>
    <row r="12" spans="1:8" x14ac:dyDescent="0.25">
      <c r="A12" s="6" t="s">
        <v>34</v>
      </c>
      <c r="B12" s="9">
        <f t="shared" ref="B12:G12" si="2">((B7)+(B10))+(B11)</f>
        <v>0</v>
      </c>
      <c r="C12" s="9">
        <f t="shared" si="2"/>
        <v>0</v>
      </c>
      <c r="D12" s="9">
        <f t="shared" si="2"/>
        <v>4600</v>
      </c>
      <c r="E12" s="9">
        <f t="shared" si="2"/>
        <v>0</v>
      </c>
      <c r="F12" s="9">
        <f t="shared" si="2"/>
        <v>36.56</v>
      </c>
      <c r="G12" s="9">
        <f t="shared" si="2"/>
        <v>0</v>
      </c>
      <c r="H12" s="9">
        <f t="shared" si="0"/>
        <v>4636.5600000000004</v>
      </c>
    </row>
    <row r="13" spans="1:8" x14ac:dyDescent="0.25">
      <c r="A13" s="6" t="s">
        <v>35</v>
      </c>
      <c r="B13" s="9">
        <f t="shared" ref="B13:G13" si="3">B12</f>
        <v>0</v>
      </c>
      <c r="C13" s="9">
        <f t="shared" si="3"/>
        <v>0</v>
      </c>
      <c r="D13" s="9">
        <f t="shared" si="3"/>
        <v>4600</v>
      </c>
      <c r="E13" s="9">
        <f t="shared" si="3"/>
        <v>0</v>
      </c>
      <c r="F13" s="9">
        <f t="shared" si="3"/>
        <v>36.56</v>
      </c>
      <c r="G13" s="9">
        <f t="shared" si="3"/>
        <v>0</v>
      </c>
      <c r="H13" s="9">
        <f t="shared" si="0"/>
        <v>4636.5600000000004</v>
      </c>
    </row>
    <row r="14" spans="1:8" x14ac:dyDescent="0.25">
      <c r="A14" s="6" t="s">
        <v>36</v>
      </c>
      <c r="B14" s="9">
        <f t="shared" ref="B14:G14" si="4">(((0)-(B13))+(0))-(0)</f>
        <v>0</v>
      </c>
      <c r="C14" s="9">
        <f t="shared" si="4"/>
        <v>0</v>
      </c>
      <c r="D14" s="9">
        <f t="shared" si="4"/>
        <v>-4600</v>
      </c>
      <c r="E14" s="9">
        <f t="shared" si="4"/>
        <v>0</v>
      </c>
      <c r="F14" s="9">
        <f t="shared" si="4"/>
        <v>-36.56</v>
      </c>
      <c r="G14" s="9">
        <f t="shared" si="4"/>
        <v>0</v>
      </c>
      <c r="H14" s="9">
        <f t="shared" si="0"/>
        <v>-4636.5600000000004</v>
      </c>
    </row>
    <row r="15" spans="1:8" x14ac:dyDescent="0.25">
      <c r="A15" s="6"/>
      <c r="B15" s="7"/>
      <c r="C15" s="7"/>
      <c r="D15" s="7"/>
      <c r="E15" s="7"/>
      <c r="F15" s="7"/>
      <c r="G15" s="7"/>
      <c r="H15" s="7"/>
    </row>
    <row r="18" spans="1:8" x14ac:dyDescent="0.25">
      <c r="A18" s="10" t="s">
        <v>47</v>
      </c>
      <c r="B18" s="2"/>
      <c r="C18" s="2"/>
      <c r="D18" s="2"/>
      <c r="E18" s="2"/>
      <c r="F18" s="2"/>
      <c r="G18" s="2"/>
      <c r="H18" s="2"/>
    </row>
  </sheetData>
  <mergeCells count="4">
    <mergeCell ref="A1:H1"/>
    <mergeCell ref="A2:H2"/>
    <mergeCell ref="A3:H3"/>
    <mergeCell ref="A18:H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7AE94-C3ED-4903-8353-E8E3032E5C7A}">
  <dimension ref="A1:I40"/>
  <sheetViews>
    <sheetView topLeftCell="A8" workbookViewId="0">
      <selection activeCell="K14" sqref="K14"/>
    </sheetView>
  </sheetViews>
  <sheetFormatPr defaultRowHeight="15" x14ac:dyDescent="0.25"/>
  <cols>
    <col min="1" max="1" width="30.140625" customWidth="1"/>
    <col min="2" max="2" width="9.42578125" customWidth="1"/>
    <col min="3" max="3" width="9.5703125" bestFit="1" customWidth="1"/>
    <col min="4" max="6" width="9.42578125" customWidth="1"/>
    <col min="7" max="7" width="8.5703125" customWidth="1"/>
    <col min="8" max="8" width="10.28515625" customWidth="1"/>
    <col min="9" max="9" width="11.5703125" bestFit="1" customWidth="1"/>
  </cols>
  <sheetData>
    <row r="1" spans="1:8" ht="1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1" t="s">
        <v>44</v>
      </c>
      <c r="B2" s="2"/>
      <c r="C2" s="2"/>
      <c r="D2" s="2"/>
      <c r="E2" s="2"/>
      <c r="F2" s="2"/>
      <c r="G2" s="2"/>
      <c r="H2" s="2"/>
    </row>
    <row r="3" spans="1:8" x14ac:dyDescent="0.25">
      <c r="A3" s="3" t="s">
        <v>2</v>
      </c>
      <c r="B3" s="2"/>
      <c r="C3" s="2"/>
      <c r="D3" s="2"/>
      <c r="E3" s="2"/>
      <c r="F3" s="2"/>
      <c r="G3" s="2"/>
      <c r="H3" s="2"/>
    </row>
    <row r="5" spans="1:8" x14ac:dyDescent="0.25">
      <c r="A5" s="4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</row>
    <row r="6" spans="1:8" x14ac:dyDescent="0.25">
      <c r="A6" s="6" t="s">
        <v>10</v>
      </c>
      <c r="B6" s="7"/>
      <c r="C6" s="7"/>
      <c r="D6" s="7"/>
      <c r="E6" s="7"/>
      <c r="F6" s="7"/>
      <c r="G6" s="7"/>
      <c r="H6" s="7"/>
    </row>
    <row r="7" spans="1:8" x14ac:dyDescent="0.25">
      <c r="A7" s="6" t="s">
        <v>11</v>
      </c>
      <c r="B7" s="7"/>
      <c r="C7" s="7"/>
      <c r="D7" s="7"/>
      <c r="E7" s="7"/>
      <c r="F7" s="7"/>
      <c r="G7" s="7"/>
      <c r="H7" s="8">
        <f t="shared" ref="H7:H16" si="0">(((((B7)+(C7))+(D7))+(E7))+(F7))+(G7)</f>
        <v>0</v>
      </c>
    </row>
    <row r="8" spans="1:8" x14ac:dyDescent="0.25">
      <c r="A8" s="6" t="s">
        <v>12</v>
      </c>
      <c r="B8" s="7"/>
      <c r="C8" s="7"/>
      <c r="D8" s="7"/>
      <c r="E8" s="7"/>
      <c r="F8" s="7"/>
      <c r="G8" s="7"/>
      <c r="H8" s="8">
        <f t="shared" si="0"/>
        <v>0</v>
      </c>
    </row>
    <row r="9" spans="1:8" x14ac:dyDescent="0.25">
      <c r="A9" s="6" t="s">
        <v>13</v>
      </c>
      <c r="B9" s="8">
        <f>11590.53</f>
        <v>11590.53</v>
      </c>
      <c r="C9" s="8">
        <f>10201.82</f>
        <v>10201.82</v>
      </c>
      <c r="D9" s="8">
        <f>11732.81</f>
        <v>11732.81</v>
      </c>
      <c r="E9" s="8">
        <f>13468.32</f>
        <v>13468.32</v>
      </c>
      <c r="F9" s="8">
        <f>15055.39</f>
        <v>15055.39</v>
      </c>
      <c r="G9" s="8">
        <f>8333.25</f>
        <v>8333.25</v>
      </c>
      <c r="H9" s="8">
        <f t="shared" si="0"/>
        <v>70382.12</v>
      </c>
    </row>
    <row r="10" spans="1:8" x14ac:dyDescent="0.25">
      <c r="A10" s="6" t="s">
        <v>14</v>
      </c>
      <c r="B10" s="9">
        <f t="shared" ref="B10:G10" si="1">(B8)+(B9)</f>
        <v>11590.53</v>
      </c>
      <c r="C10" s="9">
        <f t="shared" si="1"/>
        <v>10201.82</v>
      </c>
      <c r="D10" s="9">
        <f t="shared" si="1"/>
        <v>11732.81</v>
      </c>
      <c r="E10" s="9">
        <f t="shared" si="1"/>
        <v>13468.32</v>
      </c>
      <c r="F10" s="9">
        <f t="shared" si="1"/>
        <v>15055.39</v>
      </c>
      <c r="G10" s="9">
        <f t="shared" si="1"/>
        <v>8333.25</v>
      </c>
      <c r="H10" s="9">
        <f t="shared" si="0"/>
        <v>70382.12</v>
      </c>
    </row>
    <row r="11" spans="1:8" x14ac:dyDescent="0.25">
      <c r="A11" s="6" t="s">
        <v>15</v>
      </c>
      <c r="B11" s="9">
        <f t="shared" ref="B11:G11" si="2">(B7)+(B10)</f>
        <v>11590.53</v>
      </c>
      <c r="C11" s="9">
        <f t="shared" si="2"/>
        <v>10201.82</v>
      </c>
      <c r="D11" s="9">
        <f t="shared" si="2"/>
        <v>11732.81</v>
      </c>
      <c r="E11" s="9">
        <f t="shared" si="2"/>
        <v>13468.32</v>
      </c>
      <c r="F11" s="9">
        <f t="shared" si="2"/>
        <v>15055.39</v>
      </c>
      <c r="G11" s="9">
        <f t="shared" si="2"/>
        <v>8333.25</v>
      </c>
      <c r="H11" s="9">
        <f t="shared" si="0"/>
        <v>70382.12</v>
      </c>
    </row>
    <row r="12" spans="1:8" x14ac:dyDescent="0.25">
      <c r="A12" s="6" t="s">
        <v>39</v>
      </c>
      <c r="B12" s="7"/>
      <c r="C12" s="7"/>
      <c r="D12" s="7"/>
      <c r="E12" s="7"/>
      <c r="F12" s="7"/>
      <c r="G12" s="7"/>
      <c r="H12" s="8">
        <f t="shared" si="0"/>
        <v>0</v>
      </c>
    </row>
    <row r="13" spans="1:8" x14ac:dyDescent="0.25">
      <c r="A13" s="6" t="s">
        <v>40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f t="shared" si="0"/>
        <v>0</v>
      </c>
    </row>
    <row r="14" spans="1:8" x14ac:dyDescent="0.25">
      <c r="A14" s="6" t="s">
        <v>41</v>
      </c>
      <c r="B14" s="9">
        <f t="shared" ref="B14:G14" si="3">(B12)+(B13)</f>
        <v>0</v>
      </c>
      <c r="C14" s="9">
        <f t="shared" si="3"/>
        <v>0</v>
      </c>
      <c r="D14" s="9">
        <f t="shared" si="3"/>
        <v>0</v>
      </c>
      <c r="E14" s="9">
        <f t="shared" si="3"/>
        <v>0</v>
      </c>
      <c r="F14" s="9">
        <f t="shared" si="3"/>
        <v>0</v>
      </c>
      <c r="G14" s="9">
        <f t="shared" si="3"/>
        <v>0</v>
      </c>
      <c r="H14" s="9">
        <f t="shared" si="0"/>
        <v>0</v>
      </c>
    </row>
    <row r="15" spans="1:8" x14ac:dyDescent="0.25">
      <c r="A15" s="6" t="s">
        <v>16</v>
      </c>
      <c r="B15" s="9">
        <f t="shared" ref="B15:G15" si="4">(B11)+(B14)</f>
        <v>11590.53</v>
      </c>
      <c r="C15" s="9">
        <f t="shared" si="4"/>
        <v>10201.82</v>
      </c>
      <c r="D15" s="9">
        <f t="shared" si="4"/>
        <v>11732.81</v>
      </c>
      <c r="E15" s="9">
        <f t="shared" si="4"/>
        <v>13468.32</v>
      </c>
      <c r="F15" s="9">
        <f t="shared" si="4"/>
        <v>15055.39</v>
      </c>
      <c r="G15" s="9">
        <f t="shared" si="4"/>
        <v>8333.25</v>
      </c>
      <c r="H15" s="9">
        <f t="shared" si="0"/>
        <v>70382.12</v>
      </c>
    </row>
    <row r="16" spans="1:8" x14ac:dyDescent="0.25">
      <c r="A16" s="6" t="s">
        <v>17</v>
      </c>
      <c r="B16" s="9">
        <f t="shared" ref="B16:G16" si="5">(B15)-(0)</f>
        <v>11590.53</v>
      </c>
      <c r="C16" s="9">
        <f t="shared" si="5"/>
        <v>10201.82</v>
      </c>
      <c r="D16" s="9">
        <f t="shared" si="5"/>
        <v>11732.81</v>
      </c>
      <c r="E16" s="9">
        <f t="shared" si="5"/>
        <v>13468.32</v>
      </c>
      <c r="F16" s="9">
        <f t="shared" si="5"/>
        <v>15055.39</v>
      </c>
      <c r="G16" s="9">
        <f t="shared" si="5"/>
        <v>8333.25</v>
      </c>
      <c r="H16" s="9">
        <f t="shared" si="0"/>
        <v>70382.12</v>
      </c>
    </row>
    <row r="17" spans="1:8" x14ac:dyDescent="0.25">
      <c r="A17" s="6" t="s">
        <v>18</v>
      </c>
      <c r="B17" s="7"/>
      <c r="C17" s="7"/>
      <c r="D17" s="7"/>
      <c r="E17" s="7"/>
      <c r="F17" s="7"/>
      <c r="G17" s="7"/>
      <c r="H17" s="7"/>
    </row>
    <row r="18" spans="1:8" x14ac:dyDescent="0.25">
      <c r="A18" s="6" t="s">
        <v>19</v>
      </c>
      <c r="B18" s="7"/>
      <c r="C18" s="7"/>
      <c r="D18" s="7"/>
      <c r="E18" s="7"/>
      <c r="F18" s="7"/>
      <c r="G18" s="7"/>
      <c r="H18" s="8">
        <f t="shared" ref="H18:H36" si="6">(((((B18)+(C18))+(D18))+(E18))+(F18))+(G18)</f>
        <v>0</v>
      </c>
    </row>
    <row r="19" spans="1:8" x14ac:dyDescent="0.25">
      <c r="A19" s="6" t="s">
        <v>20</v>
      </c>
      <c r="B19" s="8">
        <f>278.51</f>
        <v>278.51</v>
      </c>
      <c r="C19" s="8">
        <f>835.52</f>
        <v>835.52</v>
      </c>
      <c r="D19" s="8">
        <f>309.09</f>
        <v>309.08999999999997</v>
      </c>
      <c r="E19" s="8">
        <f>278.51</f>
        <v>278.51</v>
      </c>
      <c r="F19" s="8">
        <f>278.49</f>
        <v>278.49</v>
      </c>
      <c r="G19" s="8">
        <f>557.01</f>
        <v>557.01</v>
      </c>
      <c r="H19" s="8">
        <f t="shared" si="6"/>
        <v>2537.13</v>
      </c>
    </row>
    <row r="20" spans="1:8" x14ac:dyDescent="0.25">
      <c r="A20" s="6" t="s">
        <v>21</v>
      </c>
      <c r="B20" s="8">
        <f>430.45</f>
        <v>430.45</v>
      </c>
      <c r="C20" s="8">
        <f>334.55</f>
        <v>334.55</v>
      </c>
      <c r="D20" s="8">
        <f>430.45</f>
        <v>430.45</v>
      </c>
      <c r="E20" s="8">
        <f>395.45</f>
        <v>395.45</v>
      </c>
      <c r="F20" s="8">
        <f>385</f>
        <v>385</v>
      </c>
      <c r="G20" s="8">
        <f>812.28</f>
        <v>812.28</v>
      </c>
      <c r="H20" s="8">
        <f t="shared" si="6"/>
        <v>2788.1800000000003</v>
      </c>
    </row>
    <row r="21" spans="1:8" x14ac:dyDescent="0.25">
      <c r="A21" s="6" t="s">
        <v>22</v>
      </c>
      <c r="B21" s="8">
        <f>578.93</f>
        <v>578.92999999999995</v>
      </c>
      <c r="C21" s="8">
        <f>976.23</f>
        <v>976.23</v>
      </c>
      <c r="D21" s="8">
        <f>691.91</f>
        <v>691.91</v>
      </c>
      <c r="E21" s="8">
        <f>561.21</f>
        <v>561.21</v>
      </c>
      <c r="F21" s="8">
        <f>729.55</f>
        <v>729.55</v>
      </c>
      <c r="G21" s="8">
        <f>532.95</f>
        <v>532.95000000000005</v>
      </c>
      <c r="H21" s="8">
        <f t="shared" si="6"/>
        <v>4070.7799999999997</v>
      </c>
    </row>
    <row r="22" spans="1:8" x14ac:dyDescent="0.25">
      <c r="A22" s="6" t="s">
        <v>24</v>
      </c>
      <c r="B22" s="7"/>
      <c r="C22" s="7"/>
      <c r="D22" s="7"/>
      <c r="E22" s="7"/>
      <c r="F22" s="7"/>
      <c r="G22" s="7"/>
      <c r="H22" s="8">
        <f t="shared" si="6"/>
        <v>0</v>
      </c>
    </row>
    <row r="23" spans="1:8" x14ac:dyDescent="0.25">
      <c r="A23" s="6" t="s">
        <v>25</v>
      </c>
      <c r="B23" s="7"/>
      <c r="C23" s="7"/>
      <c r="D23" s="7"/>
      <c r="E23" s="7"/>
      <c r="F23" s="7"/>
      <c r="G23" s="8">
        <f>1323.34</f>
        <v>1323.34</v>
      </c>
      <c r="H23" s="8">
        <f t="shared" si="6"/>
        <v>1323.34</v>
      </c>
    </row>
    <row r="24" spans="1:8" x14ac:dyDescent="0.25">
      <c r="A24" s="6" t="s">
        <v>26</v>
      </c>
      <c r="B24" s="9">
        <f t="shared" ref="B24:G24" si="7">(B22)+(B23)</f>
        <v>0</v>
      </c>
      <c r="C24" s="9">
        <f t="shared" si="7"/>
        <v>0</v>
      </c>
      <c r="D24" s="9">
        <f t="shared" si="7"/>
        <v>0</v>
      </c>
      <c r="E24" s="9">
        <f t="shared" si="7"/>
        <v>0</v>
      </c>
      <c r="F24" s="9">
        <f t="shared" si="7"/>
        <v>0</v>
      </c>
      <c r="G24" s="9">
        <f t="shared" si="7"/>
        <v>1323.34</v>
      </c>
      <c r="H24" s="9">
        <f t="shared" si="6"/>
        <v>1323.34</v>
      </c>
    </row>
    <row r="25" spans="1:8" x14ac:dyDescent="0.25">
      <c r="A25" s="6" t="s">
        <v>48</v>
      </c>
      <c r="B25" s="12"/>
      <c r="C25" s="12"/>
      <c r="D25" s="12"/>
      <c r="E25" s="12"/>
      <c r="F25" s="14">
        <v>635.96</v>
      </c>
      <c r="G25" s="12"/>
      <c r="H25" s="8">
        <f t="shared" si="6"/>
        <v>635.96</v>
      </c>
    </row>
    <row r="26" spans="1:8" x14ac:dyDescent="0.25">
      <c r="A26" s="6" t="s">
        <v>27</v>
      </c>
      <c r="B26" s="7"/>
      <c r="C26" s="7"/>
      <c r="D26" s="8">
        <f>57.3</f>
        <v>57.3</v>
      </c>
      <c r="E26" s="7"/>
      <c r="F26" s="8">
        <f>262.18</f>
        <v>262.18</v>
      </c>
      <c r="G26" s="7"/>
      <c r="H26" s="8">
        <f t="shared" si="6"/>
        <v>319.48</v>
      </c>
    </row>
    <row r="27" spans="1:8" x14ac:dyDescent="0.25">
      <c r="A27" s="6" t="s">
        <v>28</v>
      </c>
      <c r="B27" s="7"/>
      <c r="C27" s="7"/>
      <c r="D27" s="7"/>
      <c r="E27" s="7"/>
      <c r="F27" s="7"/>
      <c r="G27" s="8">
        <f>12.95</f>
        <v>12.95</v>
      </c>
      <c r="H27" s="8">
        <f t="shared" si="6"/>
        <v>12.95</v>
      </c>
    </row>
    <row r="28" spans="1:8" x14ac:dyDescent="0.25">
      <c r="A28" s="6" t="s">
        <v>29</v>
      </c>
      <c r="B28" s="7"/>
      <c r="C28" s="7"/>
      <c r="D28" s="7"/>
      <c r="E28" s="7"/>
      <c r="F28" s="7"/>
      <c r="G28" s="8">
        <f>997.5</f>
        <v>997.5</v>
      </c>
      <c r="H28" s="8">
        <f t="shared" si="6"/>
        <v>997.5</v>
      </c>
    </row>
    <row r="29" spans="1:8" x14ac:dyDescent="0.25">
      <c r="A29" s="6" t="s">
        <v>30</v>
      </c>
      <c r="B29" s="7"/>
      <c r="C29" s="7"/>
      <c r="D29" s="7"/>
      <c r="E29" s="7"/>
      <c r="F29" s="8">
        <f>115.91</f>
        <v>115.91</v>
      </c>
      <c r="G29" s="7"/>
      <c r="H29" s="8">
        <f t="shared" si="6"/>
        <v>115.91</v>
      </c>
    </row>
    <row r="30" spans="1:8" x14ac:dyDescent="0.25">
      <c r="A30" s="6" t="s">
        <v>42</v>
      </c>
      <c r="B30" s="7"/>
      <c r="C30" s="7"/>
      <c r="D30" s="8">
        <f>49.99</f>
        <v>49.99</v>
      </c>
      <c r="E30" s="7"/>
      <c r="F30" s="7"/>
      <c r="G30" s="7"/>
      <c r="H30" s="8">
        <f t="shared" si="6"/>
        <v>49.99</v>
      </c>
    </row>
    <row r="31" spans="1:8" x14ac:dyDescent="0.25">
      <c r="A31" s="6" t="s">
        <v>31</v>
      </c>
      <c r="B31" s="7"/>
      <c r="C31" s="7"/>
      <c r="D31" s="7"/>
      <c r="E31" s="7"/>
      <c r="F31" s="7"/>
      <c r="G31" s="8">
        <f>9.53</f>
        <v>9.5299999999999994</v>
      </c>
      <c r="H31" s="8">
        <f t="shared" si="6"/>
        <v>9.5299999999999994</v>
      </c>
    </row>
    <row r="32" spans="1:8" x14ac:dyDescent="0.25">
      <c r="A32" s="6" t="s">
        <v>32</v>
      </c>
      <c r="B32" s="7"/>
      <c r="C32" s="7"/>
      <c r="D32" s="7"/>
      <c r="E32" s="8">
        <f>79.95</f>
        <v>79.95</v>
      </c>
      <c r="F32" s="7"/>
      <c r="G32" s="7"/>
      <c r="H32" s="8">
        <f t="shared" si="6"/>
        <v>79.95</v>
      </c>
    </row>
    <row r="33" spans="1:9" x14ac:dyDescent="0.25">
      <c r="A33" s="6" t="s">
        <v>33</v>
      </c>
      <c r="B33" s="8">
        <f>1272.67</f>
        <v>1272.67</v>
      </c>
      <c r="C33" s="8">
        <f>1150.97</f>
        <v>1150.97</v>
      </c>
      <c r="D33" s="8">
        <f>1489.02</f>
        <v>1489.02</v>
      </c>
      <c r="E33" s="8">
        <f>856.75</f>
        <v>856.75</v>
      </c>
      <c r="F33" s="8">
        <f>1625.82</f>
        <v>1625.82</v>
      </c>
      <c r="G33" s="8">
        <f>1550.7</f>
        <v>1550.7</v>
      </c>
      <c r="H33" s="8">
        <f t="shared" si="6"/>
        <v>7945.9299999999994</v>
      </c>
    </row>
    <row r="34" spans="1:9" x14ac:dyDescent="0.25">
      <c r="A34" s="6" t="s">
        <v>34</v>
      </c>
      <c r="B34" s="9">
        <f t="shared" ref="B34:G34" si="8">((((((((((((B18)+(B19))+(B20))+(B21))+(B24))+(B26))+(B27))+(B28))+(B29))+(B30))+(B31))+(B32))+(B33)</f>
        <v>2560.56</v>
      </c>
      <c r="C34" s="9">
        <f t="shared" si="8"/>
        <v>3297.2700000000004</v>
      </c>
      <c r="D34" s="9">
        <f t="shared" si="8"/>
        <v>3027.7599999999998</v>
      </c>
      <c r="E34" s="9">
        <f t="shared" si="8"/>
        <v>2171.87</v>
      </c>
      <c r="F34" s="9">
        <f>((((((((((((F18)+(F19))+(F20))+(F21))+(F24))+(F26))+(F27))+(F28))+(F29))+(F30))+(F31))+(F32))+(F33)+F25</f>
        <v>4032.91</v>
      </c>
      <c r="G34" s="9">
        <f t="shared" si="8"/>
        <v>5796.2599999999993</v>
      </c>
      <c r="H34" s="9">
        <f t="shared" si="6"/>
        <v>20886.629999999997</v>
      </c>
      <c r="I34" s="11"/>
    </row>
    <row r="35" spans="1:9" x14ac:dyDescent="0.25">
      <c r="A35" s="6" t="s">
        <v>35</v>
      </c>
      <c r="B35" s="9">
        <f t="shared" ref="B35:G35" si="9">B34</f>
        <v>2560.56</v>
      </c>
      <c r="C35" s="9">
        <f t="shared" si="9"/>
        <v>3297.2700000000004</v>
      </c>
      <c r="D35" s="9">
        <f t="shared" si="9"/>
        <v>3027.7599999999998</v>
      </c>
      <c r="E35" s="9">
        <f t="shared" si="9"/>
        <v>2171.87</v>
      </c>
      <c r="F35" s="9">
        <f t="shared" si="9"/>
        <v>4032.91</v>
      </c>
      <c r="G35" s="9">
        <f t="shared" si="9"/>
        <v>5796.2599999999993</v>
      </c>
      <c r="H35" s="9">
        <f t="shared" si="6"/>
        <v>20886.629999999997</v>
      </c>
    </row>
    <row r="36" spans="1:9" x14ac:dyDescent="0.25">
      <c r="A36" s="6" t="s">
        <v>36</v>
      </c>
      <c r="B36" s="9">
        <f t="shared" ref="B36:G36" si="10">(((B16)-(B35))+(0))-(0)</f>
        <v>9029.9700000000012</v>
      </c>
      <c r="C36" s="9">
        <f t="shared" si="10"/>
        <v>6904.5499999999993</v>
      </c>
      <c r="D36" s="9">
        <f t="shared" si="10"/>
        <v>8705.0499999999993</v>
      </c>
      <c r="E36" s="9">
        <f t="shared" si="10"/>
        <v>11296.45</v>
      </c>
      <c r="F36" s="9">
        <f t="shared" si="10"/>
        <v>11022.48</v>
      </c>
      <c r="G36" s="9">
        <f t="shared" si="10"/>
        <v>2536.9900000000007</v>
      </c>
      <c r="H36" s="9">
        <f t="shared" si="6"/>
        <v>49495.49</v>
      </c>
    </row>
    <row r="37" spans="1:9" x14ac:dyDescent="0.25">
      <c r="A37" s="6"/>
      <c r="B37" s="7"/>
      <c r="C37" s="7"/>
      <c r="D37" s="7"/>
      <c r="E37" s="7"/>
      <c r="F37" s="7"/>
      <c r="G37" s="7"/>
      <c r="H37" s="7"/>
    </row>
    <row r="40" spans="1:9" x14ac:dyDescent="0.25">
      <c r="A40" s="10" t="s">
        <v>45</v>
      </c>
      <c r="B40" s="2"/>
      <c r="C40" s="2"/>
      <c r="D40" s="2"/>
      <c r="E40" s="2"/>
      <c r="F40" s="2"/>
      <c r="G40" s="2"/>
      <c r="H40" s="2"/>
    </row>
  </sheetData>
  <mergeCells count="4">
    <mergeCell ref="A1:H1"/>
    <mergeCell ref="A2:H2"/>
    <mergeCell ref="A3:H3"/>
    <mergeCell ref="A40:H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2FA2D-987C-4C74-8F03-38197464333E}">
  <dimension ref="A1:H20"/>
  <sheetViews>
    <sheetView workbookViewId="0">
      <selection activeCell="J9" sqref="J9"/>
    </sheetView>
  </sheetViews>
  <sheetFormatPr defaultRowHeight="15" x14ac:dyDescent="0.25"/>
  <cols>
    <col min="1" max="1" width="26.5703125" customWidth="1"/>
    <col min="2" max="3" width="8.5703125" customWidth="1"/>
    <col min="4" max="4" width="10.28515625" customWidth="1"/>
    <col min="5" max="7" width="8.5703125" customWidth="1"/>
    <col min="8" max="8" width="10.28515625" customWidth="1"/>
  </cols>
  <sheetData>
    <row r="1" spans="1:8" ht="1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1" t="s">
        <v>49</v>
      </c>
      <c r="B2" s="2"/>
      <c r="C2" s="2"/>
      <c r="D2" s="2"/>
      <c r="E2" s="2"/>
      <c r="F2" s="2"/>
      <c r="G2" s="2"/>
      <c r="H2" s="2"/>
    </row>
    <row r="3" spans="1:8" x14ac:dyDescent="0.25">
      <c r="A3" s="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</row>
    <row r="6" spans="1:8" x14ac:dyDescent="0.25">
      <c r="A6" s="6" t="s">
        <v>18</v>
      </c>
      <c r="B6" s="7"/>
      <c r="C6" s="7"/>
      <c r="D6" s="7"/>
      <c r="E6" s="7"/>
      <c r="F6" s="7"/>
      <c r="G6" s="7"/>
      <c r="H6" s="7"/>
    </row>
    <row r="7" spans="1:8" x14ac:dyDescent="0.25">
      <c r="A7" s="6" t="s">
        <v>19</v>
      </c>
      <c r="B7" s="7"/>
      <c r="C7" s="7"/>
      <c r="D7" s="7"/>
      <c r="E7" s="7"/>
      <c r="F7" s="7"/>
      <c r="G7" s="7"/>
      <c r="H7" s="8">
        <f t="shared" ref="H7:H16" si="0">(((((B7)+(C7))+(D7))+(E7))+(F7))+(G7)</f>
        <v>0</v>
      </c>
    </row>
    <row r="8" spans="1:8" x14ac:dyDescent="0.25">
      <c r="A8" s="6" t="s">
        <v>22</v>
      </c>
      <c r="B8" s="8">
        <f>123.02</f>
        <v>123.02</v>
      </c>
      <c r="C8" s="8">
        <f>97.34</f>
        <v>97.34</v>
      </c>
      <c r="D8" s="8">
        <f>107.77</f>
        <v>107.77</v>
      </c>
      <c r="E8" s="8">
        <f>104.3</f>
        <v>104.3</v>
      </c>
      <c r="F8" s="8">
        <f>104.29</f>
        <v>104.29</v>
      </c>
      <c r="G8" s="8">
        <f>107.77</f>
        <v>107.77</v>
      </c>
      <c r="H8" s="8">
        <f t="shared" si="0"/>
        <v>644.49</v>
      </c>
    </row>
    <row r="9" spans="1:8" x14ac:dyDescent="0.25">
      <c r="A9" s="6" t="s">
        <v>24</v>
      </c>
      <c r="B9" s="7"/>
      <c r="C9" s="7"/>
      <c r="D9" s="7"/>
      <c r="E9" s="7"/>
      <c r="F9" s="7"/>
      <c r="G9" s="7"/>
      <c r="H9" s="8">
        <f t="shared" si="0"/>
        <v>0</v>
      </c>
    </row>
    <row r="10" spans="1:8" x14ac:dyDescent="0.25">
      <c r="A10" s="6" t="s">
        <v>50</v>
      </c>
      <c r="B10" s="7"/>
      <c r="C10" s="8">
        <f>360</f>
        <v>360</v>
      </c>
      <c r="D10" s="7"/>
      <c r="E10" s="7"/>
      <c r="F10" s="7"/>
      <c r="G10" s="7"/>
      <c r="H10" s="8">
        <f t="shared" si="0"/>
        <v>360</v>
      </c>
    </row>
    <row r="11" spans="1:8" x14ac:dyDescent="0.25">
      <c r="A11" s="6" t="s">
        <v>25</v>
      </c>
      <c r="B11" s="7"/>
      <c r="C11" s="7"/>
      <c r="D11" s="8">
        <f>1500</f>
        <v>1500</v>
      </c>
      <c r="E11" s="7"/>
      <c r="F11" s="7"/>
      <c r="G11" s="7"/>
      <c r="H11" s="8">
        <f t="shared" si="0"/>
        <v>1500</v>
      </c>
    </row>
    <row r="12" spans="1:8" x14ac:dyDescent="0.25">
      <c r="A12" s="6" t="s">
        <v>26</v>
      </c>
      <c r="B12" s="9">
        <f t="shared" ref="B12:G12" si="1">((B9)+(B10))+(B11)</f>
        <v>0</v>
      </c>
      <c r="C12" s="9">
        <f t="shared" si="1"/>
        <v>360</v>
      </c>
      <c r="D12" s="9">
        <f t="shared" si="1"/>
        <v>1500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0"/>
        <v>1860</v>
      </c>
    </row>
    <row r="13" spans="1:8" x14ac:dyDescent="0.25">
      <c r="A13" s="6" t="s">
        <v>27</v>
      </c>
      <c r="B13" s="7"/>
      <c r="C13" s="7"/>
      <c r="D13" s="7"/>
      <c r="E13" s="7"/>
      <c r="F13" s="8">
        <f>36.56</f>
        <v>36.56</v>
      </c>
      <c r="G13" s="7"/>
      <c r="H13" s="8">
        <f t="shared" si="0"/>
        <v>36.56</v>
      </c>
    </row>
    <row r="14" spans="1:8" x14ac:dyDescent="0.25">
      <c r="A14" s="6" t="s">
        <v>34</v>
      </c>
      <c r="B14" s="9">
        <f t="shared" ref="B14:G14" si="2">(((B7)+(B8))+(B12))+(B13)</f>
        <v>123.02</v>
      </c>
      <c r="C14" s="9">
        <f t="shared" si="2"/>
        <v>457.34000000000003</v>
      </c>
      <c r="D14" s="9">
        <f t="shared" si="2"/>
        <v>1607.77</v>
      </c>
      <c r="E14" s="9">
        <f t="shared" si="2"/>
        <v>104.3</v>
      </c>
      <c r="F14" s="9">
        <f t="shared" si="2"/>
        <v>140.85000000000002</v>
      </c>
      <c r="G14" s="9">
        <f t="shared" si="2"/>
        <v>107.77</v>
      </c>
      <c r="H14" s="9">
        <f t="shared" si="0"/>
        <v>2541.0500000000002</v>
      </c>
    </row>
    <row r="15" spans="1:8" x14ac:dyDescent="0.25">
      <c r="A15" s="6" t="s">
        <v>35</v>
      </c>
      <c r="B15" s="9">
        <f t="shared" ref="B15:G15" si="3">B14</f>
        <v>123.02</v>
      </c>
      <c r="C15" s="9">
        <f t="shared" si="3"/>
        <v>457.34000000000003</v>
      </c>
      <c r="D15" s="9">
        <f t="shared" si="3"/>
        <v>1607.77</v>
      </c>
      <c r="E15" s="9">
        <f t="shared" si="3"/>
        <v>104.3</v>
      </c>
      <c r="F15" s="9">
        <f t="shared" si="3"/>
        <v>140.85000000000002</v>
      </c>
      <c r="G15" s="9">
        <f t="shared" si="3"/>
        <v>107.77</v>
      </c>
      <c r="H15" s="9">
        <f t="shared" si="0"/>
        <v>2541.0500000000002</v>
      </c>
    </row>
    <row r="16" spans="1:8" x14ac:dyDescent="0.25">
      <c r="A16" s="6" t="s">
        <v>36</v>
      </c>
      <c r="B16" s="9">
        <f t="shared" ref="B16:G16" si="4">(((0)-(B15))+(0))-(0)</f>
        <v>-123.02</v>
      </c>
      <c r="C16" s="9">
        <f t="shared" si="4"/>
        <v>-457.34000000000003</v>
      </c>
      <c r="D16" s="9">
        <f t="shared" si="4"/>
        <v>-1607.77</v>
      </c>
      <c r="E16" s="9">
        <f t="shared" si="4"/>
        <v>-104.3</v>
      </c>
      <c r="F16" s="9">
        <f t="shared" si="4"/>
        <v>-140.85000000000002</v>
      </c>
      <c r="G16" s="9">
        <f t="shared" si="4"/>
        <v>-107.77</v>
      </c>
      <c r="H16" s="9">
        <f t="shared" si="0"/>
        <v>-2541.0500000000002</v>
      </c>
    </row>
    <row r="17" spans="1:8" x14ac:dyDescent="0.25">
      <c r="A17" s="6"/>
      <c r="B17" s="7"/>
      <c r="C17" s="7"/>
      <c r="D17" s="7"/>
      <c r="E17" s="7"/>
      <c r="F17" s="7"/>
      <c r="G17" s="7"/>
      <c r="H17" s="7"/>
    </row>
    <row r="20" spans="1:8" x14ac:dyDescent="0.25">
      <c r="A20" s="10" t="s">
        <v>51</v>
      </c>
      <c r="B20" s="2"/>
      <c r="C20" s="2"/>
      <c r="D20" s="2"/>
      <c r="E20" s="2"/>
      <c r="F20" s="2"/>
      <c r="G20" s="2"/>
      <c r="H20" s="2"/>
    </row>
  </sheetData>
  <mergeCells count="4">
    <mergeCell ref="A1:H1"/>
    <mergeCell ref="A2:H2"/>
    <mergeCell ref="A3:H3"/>
    <mergeCell ref="A20:H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F1FB1-2806-4CBB-A2B6-51FF4069A684}">
  <sheetPr>
    <pageSetUpPr fitToPage="1"/>
  </sheetPr>
  <dimension ref="A1:N42"/>
  <sheetViews>
    <sheetView topLeftCell="A10" workbookViewId="0">
      <selection activeCell="I19" sqref="I19"/>
    </sheetView>
  </sheetViews>
  <sheetFormatPr defaultRowHeight="15" x14ac:dyDescent="0.25"/>
  <cols>
    <col min="1" max="1" width="30.140625" customWidth="1"/>
    <col min="2" max="13" width="11.140625" customWidth="1"/>
    <col min="14" max="14" width="11.140625" style="21" customWidth="1"/>
  </cols>
  <sheetData>
    <row r="1" spans="1:14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8" x14ac:dyDescent="0.25">
      <c r="A2" s="1" t="s">
        <v>52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3" t="str">
        <f>+'[1]100 5-30-9-7 '!A3:N3</f>
        <v xml:space="preserve">January 2019 - 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5" spans="1:14" x14ac:dyDescent="0.25">
      <c r="A5" s="4"/>
      <c r="B5" s="15">
        <v>43466</v>
      </c>
      <c r="C5" s="15">
        <v>43514</v>
      </c>
      <c r="D5" s="15">
        <v>43542</v>
      </c>
      <c r="E5" s="15">
        <v>43573</v>
      </c>
      <c r="F5" s="15">
        <v>43603</v>
      </c>
      <c r="G5" s="15">
        <v>43634</v>
      </c>
      <c r="H5" s="15">
        <v>43664</v>
      </c>
      <c r="I5" s="15">
        <v>43695</v>
      </c>
      <c r="J5" s="15">
        <v>43726</v>
      </c>
      <c r="K5" s="15">
        <v>43756</v>
      </c>
      <c r="L5" s="15">
        <v>43787</v>
      </c>
      <c r="M5" s="15">
        <v>43817</v>
      </c>
      <c r="N5" s="5" t="s">
        <v>9</v>
      </c>
    </row>
    <row r="6" spans="1:14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6"/>
    </row>
    <row r="7" spans="1:14" x14ac:dyDescent="0.25">
      <c r="A7" s="6" t="s">
        <v>54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7"/>
    </row>
    <row r="8" spans="1:14" x14ac:dyDescent="0.25">
      <c r="A8" s="6" t="s">
        <v>55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</row>
    <row r="9" spans="1:14" x14ac:dyDescent="0.25">
      <c r="A9" s="6" t="s">
        <v>56</v>
      </c>
      <c r="B9" s="8">
        <f>8*11</f>
        <v>88</v>
      </c>
      <c r="C9" s="8">
        <v>0</v>
      </c>
      <c r="D9" s="8">
        <v>161.69999999999999</v>
      </c>
      <c r="E9" s="8"/>
      <c r="F9" s="8">
        <v>924</v>
      </c>
      <c r="G9" s="8">
        <v>924</v>
      </c>
      <c r="H9" s="8"/>
      <c r="I9" s="8"/>
      <c r="J9" s="8"/>
      <c r="K9" s="8"/>
      <c r="L9" s="8"/>
      <c r="M9" s="8"/>
      <c r="N9" s="17">
        <f>SUM(B9:M9)</f>
        <v>2097.6999999999998</v>
      </c>
    </row>
    <row r="10" spans="1:14" x14ac:dyDescent="0.25">
      <c r="A10" s="6" t="s">
        <v>57</v>
      </c>
      <c r="B10" s="9">
        <f t="shared" ref="B10:M10" si="0">(B8)+(B9)</f>
        <v>88</v>
      </c>
      <c r="C10" s="9">
        <f t="shared" si="0"/>
        <v>0</v>
      </c>
      <c r="D10" s="9">
        <f t="shared" si="0"/>
        <v>161.69999999999999</v>
      </c>
      <c r="E10" s="9">
        <f t="shared" si="0"/>
        <v>0</v>
      </c>
      <c r="F10" s="9">
        <f t="shared" si="0"/>
        <v>924</v>
      </c>
      <c r="G10" s="9">
        <f t="shared" si="0"/>
        <v>924</v>
      </c>
      <c r="H10" s="9">
        <f t="shared" si="0"/>
        <v>0</v>
      </c>
      <c r="I10" s="9">
        <f t="shared" si="0"/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  <c r="M10" s="9">
        <f t="shared" si="0"/>
        <v>0</v>
      </c>
      <c r="N10" s="18">
        <f t="shared" ref="N10:N38" si="1">SUM(B10:M10)</f>
        <v>2097.6999999999998</v>
      </c>
    </row>
    <row r="11" spans="1:14" x14ac:dyDescent="0.25">
      <c r="A11" s="6" t="s">
        <v>58</v>
      </c>
      <c r="B11" s="9">
        <f t="shared" ref="B11:M11" si="2">(B7)+(B10)</f>
        <v>88</v>
      </c>
      <c r="C11" s="9">
        <f t="shared" si="2"/>
        <v>0</v>
      </c>
      <c r="D11" s="9">
        <f t="shared" si="2"/>
        <v>161.69999999999999</v>
      </c>
      <c r="E11" s="9">
        <f t="shared" si="2"/>
        <v>0</v>
      </c>
      <c r="F11" s="9">
        <f t="shared" si="2"/>
        <v>924</v>
      </c>
      <c r="G11" s="9">
        <f t="shared" si="2"/>
        <v>924</v>
      </c>
      <c r="H11" s="9">
        <f t="shared" si="2"/>
        <v>0</v>
      </c>
      <c r="I11" s="9">
        <f t="shared" si="2"/>
        <v>0</v>
      </c>
      <c r="J11" s="9">
        <f t="shared" si="2"/>
        <v>0</v>
      </c>
      <c r="K11" s="9">
        <f t="shared" si="2"/>
        <v>0</v>
      </c>
      <c r="L11" s="9">
        <f t="shared" si="2"/>
        <v>0</v>
      </c>
      <c r="M11" s="9">
        <f t="shared" si="2"/>
        <v>0</v>
      </c>
      <c r="N11" s="17">
        <f t="shared" si="1"/>
        <v>2097.6999999999998</v>
      </c>
    </row>
    <row r="12" spans="1:14" x14ac:dyDescent="0.25">
      <c r="A12" s="6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7"/>
    </row>
    <row r="13" spans="1:14" x14ac:dyDescent="0.25">
      <c r="A13" s="6" t="s">
        <v>59</v>
      </c>
      <c r="B13" s="7">
        <f>+B11</f>
        <v>88</v>
      </c>
      <c r="C13" s="7">
        <f t="shared" ref="C13:M13" si="3">+C11</f>
        <v>0</v>
      </c>
      <c r="D13" s="7">
        <f t="shared" si="3"/>
        <v>161.69999999999999</v>
      </c>
      <c r="E13" s="7">
        <f t="shared" si="3"/>
        <v>0</v>
      </c>
      <c r="F13" s="7">
        <f t="shared" si="3"/>
        <v>924</v>
      </c>
      <c r="G13" s="7">
        <f t="shared" si="3"/>
        <v>924</v>
      </c>
      <c r="H13" s="7">
        <f t="shared" si="3"/>
        <v>0</v>
      </c>
      <c r="I13" s="7">
        <f t="shared" si="3"/>
        <v>0</v>
      </c>
      <c r="J13" s="7">
        <f t="shared" si="3"/>
        <v>0</v>
      </c>
      <c r="K13" s="7">
        <f t="shared" si="3"/>
        <v>0</v>
      </c>
      <c r="L13" s="7">
        <f t="shared" si="3"/>
        <v>0</v>
      </c>
      <c r="M13" s="7">
        <f t="shared" si="3"/>
        <v>0</v>
      </c>
      <c r="N13" s="17">
        <f t="shared" si="1"/>
        <v>2097.6999999999998</v>
      </c>
    </row>
    <row r="14" spans="1:14" x14ac:dyDescent="0.25">
      <c r="A14" s="6" t="s">
        <v>60</v>
      </c>
      <c r="B14" s="9">
        <f t="shared" ref="B14:M14" si="4">(B13)-(0)</f>
        <v>88</v>
      </c>
      <c r="C14" s="9">
        <f t="shared" si="4"/>
        <v>0</v>
      </c>
      <c r="D14" s="9">
        <f t="shared" si="4"/>
        <v>161.69999999999999</v>
      </c>
      <c r="E14" s="9">
        <f t="shared" si="4"/>
        <v>0</v>
      </c>
      <c r="F14" s="9">
        <f t="shared" si="4"/>
        <v>924</v>
      </c>
      <c r="G14" s="9">
        <f t="shared" si="4"/>
        <v>924</v>
      </c>
      <c r="H14" s="9">
        <f t="shared" si="4"/>
        <v>0</v>
      </c>
      <c r="I14" s="9">
        <f t="shared" si="4"/>
        <v>0</v>
      </c>
      <c r="J14" s="9">
        <f t="shared" si="4"/>
        <v>0</v>
      </c>
      <c r="K14" s="9">
        <f t="shared" si="4"/>
        <v>0</v>
      </c>
      <c r="L14" s="9">
        <f t="shared" si="4"/>
        <v>0</v>
      </c>
      <c r="M14" s="9">
        <f t="shared" si="4"/>
        <v>0</v>
      </c>
      <c r="N14" s="20">
        <f t="shared" si="1"/>
        <v>2097.6999999999998</v>
      </c>
    </row>
    <row r="15" spans="1:14" x14ac:dyDescent="0.25">
      <c r="A15" s="6" t="s">
        <v>19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17"/>
    </row>
    <row r="16" spans="1:14" x14ac:dyDescent="0.25">
      <c r="A16" s="6" t="s">
        <v>20</v>
      </c>
      <c r="B16" s="7">
        <v>1689.2</v>
      </c>
      <c r="C16" s="7"/>
      <c r="D16" s="7"/>
      <c r="E16" s="7">
        <v>2373.4499999999998</v>
      </c>
      <c r="F16" s="8">
        <v>798.14</v>
      </c>
      <c r="G16" s="7">
        <v>2373.4499999999998</v>
      </c>
      <c r="H16" s="7"/>
      <c r="I16" s="7"/>
      <c r="J16" s="8"/>
      <c r="K16" s="7"/>
      <c r="L16" s="7"/>
      <c r="M16" s="7"/>
      <c r="N16" s="17">
        <f t="shared" si="1"/>
        <v>7234.24</v>
      </c>
    </row>
    <row r="17" spans="1:14" x14ac:dyDescent="0.25">
      <c r="A17" s="6" t="s">
        <v>21</v>
      </c>
      <c r="B17" s="8">
        <f>2300+251.77</f>
        <v>2551.77</v>
      </c>
      <c r="C17" s="8">
        <v>1900</v>
      </c>
      <c r="D17" s="8">
        <v>1700</v>
      </c>
      <c r="E17" s="8">
        <v>2500</v>
      </c>
      <c r="F17" s="8">
        <f>1850+32.38</f>
        <v>1882.38</v>
      </c>
      <c r="G17" s="8">
        <f>4050+24</f>
        <v>4074</v>
      </c>
      <c r="H17" s="8"/>
      <c r="I17" s="8"/>
      <c r="J17" s="8"/>
      <c r="K17" s="8"/>
      <c r="L17" s="8"/>
      <c r="M17" s="8"/>
      <c r="N17" s="17">
        <f t="shared" si="1"/>
        <v>14608.150000000001</v>
      </c>
    </row>
    <row r="18" spans="1:14" x14ac:dyDescent="0.25">
      <c r="A18" s="6" t="s">
        <v>61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7">
        <f t="shared" si="1"/>
        <v>0</v>
      </c>
    </row>
    <row r="19" spans="1:14" x14ac:dyDescent="0.25">
      <c r="A19" s="6" t="s">
        <v>22</v>
      </c>
      <c r="B19" s="8">
        <v>6100.12</v>
      </c>
      <c r="C19" s="8">
        <f>10109.06-719.8</f>
        <v>9389.26</v>
      </c>
      <c r="D19" s="8">
        <v>4419.09</v>
      </c>
      <c r="E19" s="8">
        <v>8533.08</v>
      </c>
      <c r="F19" s="8">
        <v>6561.7</v>
      </c>
      <c r="G19" s="8">
        <v>5918.7</v>
      </c>
      <c r="H19" s="8"/>
      <c r="I19" s="8"/>
      <c r="J19" s="8"/>
      <c r="K19" s="8"/>
      <c r="L19" s="8"/>
      <c r="M19" s="8"/>
      <c r="N19" s="17">
        <f t="shared" si="1"/>
        <v>40921.949999999997</v>
      </c>
    </row>
    <row r="20" spans="1:14" x14ac:dyDescent="0.25">
      <c r="A20" s="6" t="s">
        <v>48</v>
      </c>
      <c r="B20" s="8"/>
      <c r="C20" s="8"/>
      <c r="D20" s="8"/>
      <c r="E20" s="8"/>
      <c r="F20" s="8">
        <v>10016.35</v>
      </c>
      <c r="G20" s="8"/>
      <c r="H20" s="8"/>
      <c r="I20" s="8"/>
      <c r="J20" s="8"/>
      <c r="K20" s="8"/>
      <c r="L20" s="8"/>
      <c r="M20" s="8"/>
      <c r="N20" s="17">
        <f t="shared" si="1"/>
        <v>10016.35</v>
      </c>
    </row>
    <row r="21" spans="1:14" x14ac:dyDescent="0.25">
      <c r="A21" s="6" t="s">
        <v>23</v>
      </c>
      <c r="B21" s="8">
        <v>200</v>
      </c>
      <c r="C21" s="8">
        <v>200</v>
      </c>
      <c r="D21" s="8">
        <v>200</v>
      </c>
      <c r="E21" s="8">
        <v>200</v>
      </c>
      <c r="F21" s="8">
        <v>200</v>
      </c>
      <c r="G21" s="8">
        <v>200</v>
      </c>
      <c r="H21" s="8"/>
      <c r="I21" s="8"/>
      <c r="J21" s="8"/>
      <c r="K21" s="8"/>
      <c r="L21" s="8"/>
      <c r="M21" s="8"/>
      <c r="N21" s="17">
        <f t="shared" si="1"/>
        <v>1200</v>
      </c>
    </row>
    <row r="22" spans="1:14" x14ac:dyDescent="0.25">
      <c r="A22" s="6" t="s">
        <v>24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17"/>
    </row>
    <row r="23" spans="1:14" x14ac:dyDescent="0.25">
      <c r="A23" s="6" t="s">
        <v>25</v>
      </c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17">
        <f t="shared" si="1"/>
        <v>0</v>
      </c>
    </row>
    <row r="24" spans="1:14" x14ac:dyDescent="0.25">
      <c r="A24" s="6" t="s">
        <v>26</v>
      </c>
      <c r="B24" s="9">
        <f t="shared" ref="B24:M24" si="5">(B22)+(B23)</f>
        <v>0</v>
      </c>
      <c r="C24" s="9">
        <f t="shared" si="5"/>
        <v>0</v>
      </c>
      <c r="D24" s="9">
        <f t="shared" si="5"/>
        <v>0</v>
      </c>
      <c r="E24" s="9">
        <f t="shared" si="5"/>
        <v>0</v>
      </c>
      <c r="F24" s="9">
        <f t="shared" si="5"/>
        <v>0</v>
      </c>
      <c r="G24" s="9">
        <f t="shared" si="5"/>
        <v>0</v>
      </c>
      <c r="H24" s="9">
        <f t="shared" si="5"/>
        <v>0</v>
      </c>
      <c r="I24" s="9">
        <f t="shared" si="5"/>
        <v>0</v>
      </c>
      <c r="J24" s="9">
        <f t="shared" si="5"/>
        <v>0</v>
      </c>
      <c r="K24" s="9">
        <f t="shared" si="5"/>
        <v>0</v>
      </c>
      <c r="L24" s="9">
        <f t="shared" si="5"/>
        <v>0</v>
      </c>
      <c r="M24" s="9">
        <f t="shared" si="5"/>
        <v>0</v>
      </c>
      <c r="N24" s="20">
        <f t="shared" si="1"/>
        <v>0</v>
      </c>
    </row>
    <row r="25" spans="1:14" x14ac:dyDescent="0.25">
      <c r="A25" s="6" t="s">
        <v>27</v>
      </c>
      <c r="B25" s="8">
        <v>4.78</v>
      </c>
      <c r="C25" s="8"/>
      <c r="D25" s="8">
        <v>57.3</v>
      </c>
      <c r="E25" s="8"/>
      <c r="F25" s="7">
        <v>594.85</v>
      </c>
      <c r="G25" s="7"/>
      <c r="H25" s="8"/>
      <c r="I25" s="7"/>
      <c r="J25" s="7"/>
      <c r="K25" s="7"/>
      <c r="L25" s="7"/>
      <c r="M25" s="7"/>
      <c r="N25" s="17">
        <f t="shared" si="1"/>
        <v>656.93000000000006</v>
      </c>
    </row>
    <row r="26" spans="1:14" x14ac:dyDescent="0.25">
      <c r="A26" s="6" t="s">
        <v>62</v>
      </c>
      <c r="B26" s="8"/>
      <c r="C26" s="8"/>
      <c r="D26" s="8"/>
      <c r="E26" s="8"/>
      <c r="F26" s="7"/>
      <c r="G26" s="7"/>
      <c r="H26" s="8"/>
      <c r="I26" s="7"/>
      <c r="J26" s="7"/>
      <c r="K26" s="7"/>
      <c r="L26" s="7"/>
      <c r="M26" s="7"/>
      <c r="N26" s="17">
        <f t="shared" si="1"/>
        <v>0</v>
      </c>
    </row>
    <row r="27" spans="1:14" x14ac:dyDescent="0.25">
      <c r="A27" s="6" t="s">
        <v>28</v>
      </c>
      <c r="B27" s="8"/>
      <c r="C27" s="8"/>
      <c r="D27" s="8"/>
      <c r="E27" s="8"/>
      <c r="F27" s="7"/>
      <c r="G27" s="7">
        <v>1290</v>
      </c>
      <c r="H27" s="8"/>
      <c r="I27" s="7"/>
      <c r="J27" s="7"/>
      <c r="K27" s="7"/>
      <c r="L27" s="7"/>
      <c r="M27" s="7"/>
      <c r="N27" s="17">
        <f t="shared" si="1"/>
        <v>1290</v>
      </c>
    </row>
    <row r="28" spans="1:14" x14ac:dyDescent="0.25">
      <c r="A28" s="6" t="s">
        <v>29</v>
      </c>
      <c r="B28" s="8">
        <v>1458</v>
      </c>
      <c r="C28" s="8">
        <v>364</v>
      </c>
      <c r="D28" s="8">
        <v>2553.98</v>
      </c>
      <c r="E28" s="8">
        <v>285</v>
      </c>
      <c r="F28" s="7"/>
      <c r="G28" s="7">
        <v>840</v>
      </c>
      <c r="H28" s="8"/>
      <c r="I28" s="7"/>
      <c r="J28" s="8"/>
      <c r="K28" s="8"/>
      <c r="L28" s="8"/>
      <c r="M28" s="8"/>
      <c r="N28" s="17">
        <f t="shared" si="1"/>
        <v>5500.98</v>
      </c>
    </row>
    <row r="29" spans="1:14" x14ac:dyDescent="0.25">
      <c r="A29" s="6" t="s">
        <v>30</v>
      </c>
      <c r="B29" s="8"/>
      <c r="C29" s="8">
        <v>440</v>
      </c>
      <c r="D29" s="8">
        <v>330</v>
      </c>
      <c r="E29" s="8"/>
      <c r="F29" s="8"/>
      <c r="G29" s="7"/>
      <c r="H29" s="7"/>
      <c r="I29" s="8"/>
      <c r="J29" s="7"/>
      <c r="K29" s="8"/>
      <c r="L29" s="8"/>
      <c r="M29" s="8"/>
      <c r="N29" s="17">
        <f t="shared" si="1"/>
        <v>770</v>
      </c>
    </row>
    <row r="30" spans="1:14" x14ac:dyDescent="0.25">
      <c r="A30" s="6" t="s">
        <v>63</v>
      </c>
      <c r="B30" s="8"/>
      <c r="C30" s="8"/>
      <c r="D30" s="8"/>
      <c r="E30" s="8"/>
      <c r="F30" s="8"/>
      <c r="G30" s="7"/>
      <c r="H30" s="7"/>
      <c r="I30" s="8"/>
      <c r="J30" s="8"/>
      <c r="K30" s="7"/>
      <c r="L30" s="7"/>
      <c r="M30" s="7"/>
      <c r="N30" s="17">
        <f t="shared" si="1"/>
        <v>0</v>
      </c>
    </row>
    <row r="31" spans="1:14" x14ac:dyDescent="0.25">
      <c r="A31" s="6" t="s">
        <v>42</v>
      </c>
      <c r="B31" s="8">
        <v>32</v>
      </c>
      <c r="C31" s="8"/>
      <c r="D31" s="8">
        <v>243.49</v>
      </c>
      <c r="E31" s="8">
        <v>52.45</v>
      </c>
      <c r="F31" s="8">
        <v>256.25</v>
      </c>
      <c r="G31" s="7">
        <v>2424.56</v>
      </c>
      <c r="H31" s="7"/>
      <c r="I31" s="7"/>
      <c r="J31" s="8"/>
      <c r="K31" s="8"/>
      <c r="L31" s="8"/>
      <c r="M31" s="8"/>
      <c r="N31" s="17">
        <f t="shared" si="1"/>
        <v>3008.75</v>
      </c>
    </row>
    <row r="32" spans="1:14" x14ac:dyDescent="0.25">
      <c r="A32" s="6" t="s">
        <v>64</v>
      </c>
      <c r="B32" s="8">
        <v>308.60000000000002</v>
      </c>
      <c r="C32" s="8"/>
      <c r="D32" s="8">
        <v>88.39</v>
      </c>
      <c r="E32" s="7">
        <v>405.95</v>
      </c>
      <c r="F32" s="8">
        <v>159.38999999999999</v>
      </c>
      <c r="G32" s="8">
        <v>475.99</v>
      </c>
      <c r="H32" s="8"/>
      <c r="I32" s="8"/>
      <c r="J32" s="8"/>
      <c r="K32" s="8"/>
      <c r="L32" s="8"/>
      <c r="M32" s="8"/>
      <c r="N32" s="17">
        <f t="shared" si="1"/>
        <v>1438.3200000000002</v>
      </c>
    </row>
    <row r="33" spans="1:14" x14ac:dyDescent="0.25">
      <c r="A33" s="6" t="s">
        <v>32</v>
      </c>
      <c r="B33" s="8">
        <v>690</v>
      </c>
      <c r="C33" s="8">
        <v>150</v>
      </c>
      <c r="D33" s="8">
        <v>300</v>
      </c>
      <c r="E33" s="7"/>
      <c r="F33" s="8">
        <v>475</v>
      </c>
      <c r="G33" s="8"/>
      <c r="H33" s="8"/>
      <c r="I33" s="8"/>
      <c r="J33" s="8"/>
      <c r="K33" s="8"/>
      <c r="L33" s="8"/>
      <c r="M33" s="8"/>
      <c r="N33" s="17">
        <f t="shared" si="1"/>
        <v>1615</v>
      </c>
    </row>
    <row r="34" spans="1:14" x14ac:dyDescent="0.25">
      <c r="A34" s="6" t="s">
        <v>33</v>
      </c>
      <c r="B34" s="8">
        <v>325</v>
      </c>
      <c r="C34" s="8"/>
      <c r="D34" s="8"/>
      <c r="E34" s="7">
        <v>260</v>
      </c>
      <c r="F34" s="8">
        <v>130</v>
      </c>
      <c r="G34" s="8">
        <v>3585</v>
      </c>
      <c r="H34" s="8"/>
      <c r="I34" s="8"/>
      <c r="J34" s="8"/>
      <c r="K34" s="8"/>
      <c r="L34" s="8"/>
      <c r="M34" s="8"/>
      <c r="N34" s="17">
        <f t="shared" si="1"/>
        <v>4300</v>
      </c>
    </row>
    <row r="35" spans="1:14" x14ac:dyDescent="0.25">
      <c r="A35" s="6" t="s">
        <v>65</v>
      </c>
      <c r="B35" s="8"/>
      <c r="C35" s="8"/>
      <c r="D35" s="8"/>
      <c r="E35" s="7"/>
      <c r="F35" s="8"/>
      <c r="G35" s="8">
        <f>1200+10342.5</f>
        <v>11542.5</v>
      </c>
      <c r="H35" s="8"/>
      <c r="I35" s="8"/>
      <c r="J35" s="8"/>
      <c r="K35" s="8"/>
      <c r="L35" s="8"/>
      <c r="M35" s="8"/>
      <c r="N35" s="17">
        <f t="shared" si="1"/>
        <v>11542.5</v>
      </c>
    </row>
    <row r="36" spans="1:14" x14ac:dyDescent="0.25">
      <c r="A36" s="6" t="s">
        <v>34</v>
      </c>
      <c r="B36" s="9">
        <f>+B16+B17+B18+B19+B20+B21+B24+B25+B26+B28+B29+B30+B31+B32+B33+B34+B27+B35</f>
        <v>13359.470000000001</v>
      </c>
      <c r="C36" s="9">
        <f t="shared" ref="C36:M36" si="6">+C16+C17+C18+C19+C20+C21+C24+C25+C26+C28+C29+C30+C31+C32+C33+C34+C27+C35</f>
        <v>12443.26</v>
      </c>
      <c r="D36" s="9">
        <f t="shared" si="6"/>
        <v>9892.25</v>
      </c>
      <c r="E36" s="9">
        <f t="shared" si="6"/>
        <v>14609.93</v>
      </c>
      <c r="F36" s="9">
        <f t="shared" si="6"/>
        <v>21074.059999999998</v>
      </c>
      <c r="G36" s="9">
        <f t="shared" si="6"/>
        <v>32724.199999999997</v>
      </c>
      <c r="H36" s="9">
        <f t="shared" si="6"/>
        <v>0</v>
      </c>
      <c r="I36" s="9">
        <f t="shared" si="6"/>
        <v>0</v>
      </c>
      <c r="J36" s="9">
        <f t="shared" si="6"/>
        <v>0</v>
      </c>
      <c r="K36" s="9">
        <f t="shared" si="6"/>
        <v>0</v>
      </c>
      <c r="L36" s="9">
        <f t="shared" si="6"/>
        <v>0</v>
      </c>
      <c r="M36" s="9">
        <f t="shared" si="6"/>
        <v>0</v>
      </c>
      <c r="N36" s="18">
        <f t="shared" si="1"/>
        <v>104103.17</v>
      </c>
    </row>
    <row r="37" spans="1:14" x14ac:dyDescent="0.25">
      <c r="A37" s="6" t="s">
        <v>35</v>
      </c>
      <c r="B37" s="9">
        <f>(B36)</f>
        <v>13359.470000000001</v>
      </c>
      <c r="C37" s="9">
        <f t="shared" ref="C37:M37" si="7">(C36)</f>
        <v>12443.26</v>
      </c>
      <c r="D37" s="9">
        <f t="shared" si="7"/>
        <v>9892.25</v>
      </c>
      <c r="E37" s="9">
        <f t="shared" si="7"/>
        <v>14609.93</v>
      </c>
      <c r="F37" s="9">
        <f t="shared" si="7"/>
        <v>21074.059999999998</v>
      </c>
      <c r="G37" s="9">
        <f t="shared" si="7"/>
        <v>32724.199999999997</v>
      </c>
      <c r="H37" s="9">
        <f t="shared" si="7"/>
        <v>0</v>
      </c>
      <c r="I37" s="9">
        <f t="shared" si="7"/>
        <v>0</v>
      </c>
      <c r="J37" s="9">
        <f t="shared" si="7"/>
        <v>0</v>
      </c>
      <c r="K37" s="9">
        <f t="shared" si="7"/>
        <v>0</v>
      </c>
      <c r="L37" s="9">
        <f t="shared" si="7"/>
        <v>0</v>
      </c>
      <c r="M37" s="9">
        <f t="shared" si="7"/>
        <v>0</v>
      </c>
      <c r="N37" s="18">
        <f t="shared" si="1"/>
        <v>104103.17</v>
      </c>
    </row>
    <row r="38" spans="1:14" x14ac:dyDescent="0.25">
      <c r="A38" s="6" t="s">
        <v>66</v>
      </c>
      <c r="B38" s="9">
        <f>(((B14)-(B37))+(0))-(0)</f>
        <v>-13271.470000000001</v>
      </c>
      <c r="C38" s="9">
        <f t="shared" ref="C38:M38" si="8">(((C14)-(C37))+(0))-(0)</f>
        <v>-12443.26</v>
      </c>
      <c r="D38" s="9">
        <f t="shared" si="8"/>
        <v>-9730.5499999999993</v>
      </c>
      <c r="E38" s="9">
        <f t="shared" si="8"/>
        <v>-14609.93</v>
      </c>
      <c r="F38" s="9">
        <f t="shared" si="8"/>
        <v>-20150.059999999998</v>
      </c>
      <c r="G38" s="9">
        <f t="shared" si="8"/>
        <v>-31800.199999999997</v>
      </c>
      <c r="H38" s="9">
        <f t="shared" si="8"/>
        <v>0</v>
      </c>
      <c r="I38" s="9">
        <f t="shared" si="8"/>
        <v>0</v>
      </c>
      <c r="J38" s="9">
        <f t="shared" si="8"/>
        <v>0</v>
      </c>
      <c r="K38" s="9">
        <f t="shared" si="8"/>
        <v>0</v>
      </c>
      <c r="L38" s="9">
        <f t="shared" si="8"/>
        <v>0</v>
      </c>
      <c r="M38" s="9">
        <f t="shared" si="8"/>
        <v>0</v>
      </c>
      <c r="N38" s="17">
        <f t="shared" si="1"/>
        <v>-102005.46999999999</v>
      </c>
    </row>
    <row r="39" spans="1:14" x14ac:dyDescent="0.2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16"/>
    </row>
    <row r="42" spans="1:14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</sheetData>
  <mergeCells count="4">
    <mergeCell ref="A1:N1"/>
    <mergeCell ref="A2:N2"/>
    <mergeCell ref="A3:N3"/>
    <mergeCell ref="A42:N42"/>
  </mergeCells>
  <pageMargins left="0.7" right="0.7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4C480-E1FF-47D8-85E3-CC7E88692C2F}">
  <dimension ref="A1:H33"/>
  <sheetViews>
    <sheetView topLeftCell="A10" workbookViewId="0">
      <selection activeCell="H29" sqref="H29"/>
    </sheetView>
  </sheetViews>
  <sheetFormatPr defaultRowHeight="15" x14ac:dyDescent="0.25"/>
  <cols>
    <col min="1" max="1" width="30.140625" customWidth="1"/>
    <col min="2" max="2" width="9.42578125" customWidth="1"/>
    <col min="3" max="4" width="8.5703125" customWidth="1"/>
    <col min="5" max="6" width="9.42578125" customWidth="1"/>
    <col min="7" max="7" width="8.5703125" customWidth="1"/>
    <col min="8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67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12288.56</f>
        <v>12288.56</v>
      </c>
      <c r="C9" s="27">
        <f>7170.28</f>
        <v>7170.28</v>
      </c>
      <c r="D9" s="27">
        <f>8655.39</f>
        <v>8655.39</v>
      </c>
      <c r="E9" s="27">
        <f>14987.02</f>
        <v>14987.02</v>
      </c>
      <c r="F9" s="27">
        <f>13871.56</f>
        <v>13871.56</v>
      </c>
      <c r="G9" s="27">
        <f>9059.87</f>
        <v>9059.8700000000008</v>
      </c>
      <c r="H9" s="27">
        <f t="shared" si="0"/>
        <v>66032.679999999993</v>
      </c>
    </row>
    <row r="10" spans="1:8" x14ac:dyDescent="0.25">
      <c r="A10" s="25" t="s">
        <v>14</v>
      </c>
      <c r="B10" s="28">
        <f t="shared" ref="B10:G10" si="1">(B8)+(B9)</f>
        <v>12288.56</v>
      </c>
      <c r="C10" s="28">
        <f t="shared" si="1"/>
        <v>7170.28</v>
      </c>
      <c r="D10" s="28">
        <f t="shared" si="1"/>
        <v>8655.39</v>
      </c>
      <c r="E10" s="28">
        <f t="shared" si="1"/>
        <v>14987.02</v>
      </c>
      <c r="F10" s="28">
        <f t="shared" si="1"/>
        <v>13871.56</v>
      </c>
      <c r="G10" s="28">
        <f t="shared" si="1"/>
        <v>9059.8700000000008</v>
      </c>
      <c r="H10" s="28">
        <f t="shared" si="0"/>
        <v>66032.679999999993</v>
      </c>
    </row>
    <row r="11" spans="1:8" x14ac:dyDescent="0.25">
      <c r="A11" s="25" t="s">
        <v>15</v>
      </c>
      <c r="B11" s="28">
        <f t="shared" ref="B11:G11" si="2">(B7)+(B10)</f>
        <v>12288.56</v>
      </c>
      <c r="C11" s="28">
        <f t="shared" si="2"/>
        <v>7170.28</v>
      </c>
      <c r="D11" s="28">
        <f t="shared" si="2"/>
        <v>8655.39</v>
      </c>
      <c r="E11" s="28">
        <f t="shared" si="2"/>
        <v>14987.02</v>
      </c>
      <c r="F11" s="28">
        <f t="shared" si="2"/>
        <v>13871.56</v>
      </c>
      <c r="G11" s="28">
        <f t="shared" si="2"/>
        <v>9059.8700000000008</v>
      </c>
      <c r="H11" s="28">
        <f t="shared" si="0"/>
        <v>66032.679999999993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f t="shared" si="0"/>
        <v>0</v>
      </c>
    </row>
    <row r="14" spans="1:8" x14ac:dyDescent="0.25">
      <c r="A14" s="25" t="s">
        <v>41</v>
      </c>
      <c r="B14" s="28">
        <f t="shared" ref="B14:G14" si="3">(B12)+(B13)</f>
        <v>0</v>
      </c>
      <c r="C14" s="28">
        <f t="shared" si="3"/>
        <v>0</v>
      </c>
      <c r="D14" s="28">
        <f t="shared" si="3"/>
        <v>0</v>
      </c>
      <c r="E14" s="28">
        <f t="shared" si="3"/>
        <v>0</v>
      </c>
      <c r="F14" s="28">
        <f t="shared" si="3"/>
        <v>0</v>
      </c>
      <c r="G14" s="28">
        <f t="shared" si="3"/>
        <v>0</v>
      </c>
      <c r="H14" s="28">
        <f t="shared" si="0"/>
        <v>0</v>
      </c>
    </row>
    <row r="15" spans="1:8" x14ac:dyDescent="0.25">
      <c r="A15" s="25" t="s">
        <v>16</v>
      </c>
      <c r="B15" s="28">
        <f t="shared" ref="B15:G15" si="4">(B11)+(B14)</f>
        <v>12288.56</v>
      </c>
      <c r="C15" s="28">
        <f t="shared" si="4"/>
        <v>7170.28</v>
      </c>
      <c r="D15" s="28">
        <f t="shared" si="4"/>
        <v>8655.39</v>
      </c>
      <c r="E15" s="28">
        <f t="shared" si="4"/>
        <v>14987.02</v>
      </c>
      <c r="F15" s="28">
        <f t="shared" si="4"/>
        <v>13871.56</v>
      </c>
      <c r="G15" s="28">
        <f t="shared" si="4"/>
        <v>9059.8700000000008</v>
      </c>
      <c r="H15" s="28">
        <f t="shared" si="0"/>
        <v>66032.679999999993</v>
      </c>
    </row>
    <row r="16" spans="1:8" x14ac:dyDescent="0.25">
      <c r="A16" s="25" t="s">
        <v>17</v>
      </c>
      <c r="B16" s="28">
        <f t="shared" ref="B16:G16" si="5">(B15)-(0)</f>
        <v>12288.56</v>
      </c>
      <c r="C16" s="28">
        <f t="shared" si="5"/>
        <v>7170.28</v>
      </c>
      <c r="D16" s="28">
        <f t="shared" si="5"/>
        <v>8655.39</v>
      </c>
      <c r="E16" s="28">
        <f t="shared" si="5"/>
        <v>14987.02</v>
      </c>
      <c r="F16" s="28">
        <f t="shared" si="5"/>
        <v>13871.56</v>
      </c>
      <c r="G16" s="28">
        <f t="shared" si="5"/>
        <v>9059.8700000000008</v>
      </c>
      <c r="H16" s="28">
        <f t="shared" si="0"/>
        <v>66032.679999999993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29" si="6">(((((B18)+(C18))+(D18))+(E18))+(F18))+(G18)</f>
        <v>0</v>
      </c>
    </row>
    <row r="19" spans="1:8" x14ac:dyDescent="0.25">
      <c r="A19" s="25" t="s">
        <v>21</v>
      </c>
      <c r="B19" s="27">
        <f>430.45</f>
        <v>430.45</v>
      </c>
      <c r="C19" s="27">
        <f>334.55</f>
        <v>334.55</v>
      </c>
      <c r="D19" s="27">
        <f>430.45</f>
        <v>430.45</v>
      </c>
      <c r="E19" s="27">
        <f>395.45</f>
        <v>395.45</v>
      </c>
      <c r="F19" s="27">
        <f>385</f>
        <v>385</v>
      </c>
      <c r="G19" s="27">
        <f>812.28</f>
        <v>812.28</v>
      </c>
      <c r="H19" s="27">
        <f t="shared" si="6"/>
        <v>2788.1800000000003</v>
      </c>
    </row>
    <row r="20" spans="1:8" x14ac:dyDescent="0.25">
      <c r="A20" s="25" t="s">
        <v>22</v>
      </c>
      <c r="B20" s="27">
        <f>240.18</f>
        <v>240.18</v>
      </c>
      <c r="C20" s="27">
        <f>396.87</f>
        <v>396.87</v>
      </c>
      <c r="D20" s="27">
        <f>296.1</f>
        <v>296.10000000000002</v>
      </c>
      <c r="E20" s="27">
        <f>229.28</f>
        <v>229.28</v>
      </c>
      <c r="F20" s="27">
        <f>313.58</f>
        <v>313.58</v>
      </c>
      <c r="G20" s="27">
        <f>245.94</f>
        <v>245.94</v>
      </c>
      <c r="H20" s="27">
        <f t="shared" si="6"/>
        <v>1721.95</v>
      </c>
    </row>
    <row r="21" spans="1:8" x14ac:dyDescent="0.25">
      <c r="A21" s="25" t="s">
        <v>27</v>
      </c>
      <c r="B21" s="26"/>
      <c r="C21" s="26"/>
      <c r="D21" s="27">
        <f>57.3</f>
        <v>57.3</v>
      </c>
      <c r="E21" s="26"/>
      <c r="F21" s="27">
        <f>324.06</f>
        <v>324.06</v>
      </c>
      <c r="G21" s="26"/>
      <c r="H21" s="27">
        <f t="shared" si="6"/>
        <v>381.36</v>
      </c>
    </row>
    <row r="22" spans="1:8" x14ac:dyDescent="0.25">
      <c r="A22" s="25" t="s">
        <v>28</v>
      </c>
      <c r="B22" s="26"/>
      <c r="C22" s="26"/>
      <c r="D22" s="26"/>
      <c r="E22" s="26"/>
      <c r="F22" s="26"/>
      <c r="G22" s="27">
        <f>50.84</f>
        <v>50.84</v>
      </c>
      <c r="H22" s="27">
        <f t="shared" si="6"/>
        <v>50.84</v>
      </c>
    </row>
    <row r="23" spans="1:8" x14ac:dyDescent="0.25">
      <c r="A23" s="25" t="s">
        <v>30</v>
      </c>
      <c r="B23" s="26"/>
      <c r="C23" s="26"/>
      <c r="D23" s="26"/>
      <c r="E23" s="26"/>
      <c r="F23" s="27">
        <f>115.91</f>
        <v>115.91</v>
      </c>
      <c r="G23" s="26"/>
      <c r="H23" s="27">
        <f t="shared" si="6"/>
        <v>115.91</v>
      </c>
    </row>
    <row r="24" spans="1:8" x14ac:dyDescent="0.25">
      <c r="A24" s="25" t="s">
        <v>31</v>
      </c>
      <c r="B24" s="26"/>
      <c r="C24" s="26"/>
      <c r="D24" s="26"/>
      <c r="E24" s="26"/>
      <c r="F24" s="26"/>
      <c r="G24" s="27">
        <f>37.42</f>
        <v>37.42</v>
      </c>
      <c r="H24" s="27">
        <f t="shared" si="6"/>
        <v>37.42</v>
      </c>
    </row>
    <row r="25" spans="1:8" x14ac:dyDescent="0.25">
      <c r="A25" s="25" t="s">
        <v>32</v>
      </c>
      <c r="B25" s="26"/>
      <c r="C25" s="26"/>
      <c r="D25" s="26"/>
      <c r="E25" s="27">
        <f>79.95</f>
        <v>79.95</v>
      </c>
      <c r="F25" s="26"/>
      <c r="G25" s="26"/>
      <c r="H25" s="27">
        <f t="shared" si="6"/>
        <v>79.95</v>
      </c>
    </row>
    <row r="26" spans="1:8" x14ac:dyDescent="0.25">
      <c r="A26" s="25" t="s">
        <v>33</v>
      </c>
      <c r="B26" s="27">
        <f>660.17</f>
        <v>660.17</v>
      </c>
      <c r="C26" s="27">
        <f>352.1</f>
        <v>352.1</v>
      </c>
      <c r="D26" s="27">
        <f>379.2</f>
        <v>379.2</v>
      </c>
      <c r="E26" s="27">
        <f>591.71</f>
        <v>591.71</v>
      </c>
      <c r="F26" s="27">
        <f>623.47</f>
        <v>623.47</v>
      </c>
      <c r="G26" s="27">
        <f>979.25</f>
        <v>979.25</v>
      </c>
      <c r="H26" s="27">
        <f t="shared" si="6"/>
        <v>3585.9</v>
      </c>
    </row>
    <row r="27" spans="1:8" x14ac:dyDescent="0.25">
      <c r="A27" s="25" t="s">
        <v>34</v>
      </c>
      <c r="B27" s="28">
        <f t="shared" ref="B27:G27" si="7">((((((((B18)+(B19))+(B20))+(B21))+(B22))+(B23))+(B24))+(B25))+(B26)</f>
        <v>1330.8</v>
      </c>
      <c r="C27" s="28">
        <f t="shared" si="7"/>
        <v>1083.52</v>
      </c>
      <c r="D27" s="28">
        <f t="shared" si="7"/>
        <v>1163.05</v>
      </c>
      <c r="E27" s="28">
        <f t="shared" si="7"/>
        <v>1296.3900000000001</v>
      </c>
      <c r="F27" s="28">
        <f t="shared" si="7"/>
        <v>1762.02</v>
      </c>
      <c r="G27" s="28">
        <f t="shared" si="7"/>
        <v>2125.73</v>
      </c>
      <c r="H27" s="28">
        <f t="shared" si="6"/>
        <v>8761.51</v>
      </c>
    </row>
    <row r="28" spans="1:8" x14ac:dyDescent="0.25">
      <c r="A28" s="25" t="s">
        <v>35</v>
      </c>
      <c r="B28" s="28">
        <f t="shared" ref="B28:G28" si="8">B27</f>
        <v>1330.8</v>
      </c>
      <c r="C28" s="28">
        <f t="shared" si="8"/>
        <v>1083.52</v>
      </c>
      <c r="D28" s="28">
        <f t="shared" si="8"/>
        <v>1163.05</v>
      </c>
      <c r="E28" s="28">
        <f t="shared" si="8"/>
        <v>1296.3900000000001</v>
      </c>
      <c r="F28" s="28">
        <f t="shared" si="8"/>
        <v>1762.02</v>
      </c>
      <c r="G28" s="28">
        <f t="shared" si="8"/>
        <v>2125.73</v>
      </c>
      <c r="H28" s="28">
        <f t="shared" si="6"/>
        <v>8761.51</v>
      </c>
    </row>
    <row r="29" spans="1:8" x14ac:dyDescent="0.25">
      <c r="A29" s="25" t="s">
        <v>36</v>
      </c>
      <c r="B29" s="28">
        <f t="shared" ref="B29:G29" si="9">(((B16)-(B28))+(0))-(0)</f>
        <v>10957.76</v>
      </c>
      <c r="C29" s="28">
        <f t="shared" si="9"/>
        <v>6086.76</v>
      </c>
      <c r="D29" s="28">
        <f t="shared" si="9"/>
        <v>7492.3399999999992</v>
      </c>
      <c r="E29" s="28">
        <f t="shared" si="9"/>
        <v>13690.630000000001</v>
      </c>
      <c r="F29" s="28">
        <f t="shared" si="9"/>
        <v>12109.539999999999</v>
      </c>
      <c r="G29" s="28">
        <f t="shared" si="9"/>
        <v>6934.1400000000012</v>
      </c>
      <c r="H29" s="28">
        <f t="shared" si="6"/>
        <v>57271.170000000006</v>
      </c>
    </row>
    <row r="30" spans="1:8" x14ac:dyDescent="0.25">
      <c r="A30" s="25"/>
      <c r="B30" s="26"/>
      <c r="C30" s="26"/>
      <c r="D30" s="26"/>
      <c r="E30" s="26"/>
      <c r="F30" s="26"/>
      <c r="G30" s="26"/>
      <c r="H30" s="26"/>
    </row>
    <row r="33" spans="1:8" x14ac:dyDescent="0.25">
      <c r="A33" s="29" t="s">
        <v>68</v>
      </c>
      <c r="B33" s="2"/>
      <c r="C33" s="2"/>
      <c r="D33" s="2"/>
      <c r="E33" s="2"/>
      <c r="F33" s="2"/>
      <c r="G33" s="2"/>
      <c r="H33" s="2"/>
    </row>
  </sheetData>
  <mergeCells count="4">
    <mergeCell ref="A1:H1"/>
    <mergeCell ref="A2:H2"/>
    <mergeCell ref="A3:H3"/>
    <mergeCell ref="A33:H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D8D0E-862A-43A4-8107-87BD6CC83E69}">
  <dimension ref="A1:H41"/>
  <sheetViews>
    <sheetView topLeftCell="A13" workbookViewId="0">
      <selection activeCell="N33" sqref="N33"/>
    </sheetView>
  </sheetViews>
  <sheetFormatPr defaultRowHeight="15" x14ac:dyDescent="0.25"/>
  <cols>
    <col min="1" max="1" width="30.140625" customWidth="1"/>
    <col min="2" max="4" width="8.5703125" customWidth="1"/>
    <col min="5" max="6" width="9.42578125" customWidth="1"/>
    <col min="7" max="8" width="10.28515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71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10155.65</f>
        <v>10155.65</v>
      </c>
      <c r="C9" s="27">
        <f>7828.75</f>
        <v>7828.75</v>
      </c>
      <c r="D9" s="27">
        <f>6465.87</f>
        <v>6465.87</v>
      </c>
      <c r="E9" s="27">
        <f>15748.07</f>
        <v>15748.07</v>
      </c>
      <c r="F9" s="27">
        <f>14575.96</f>
        <v>14575.96</v>
      </c>
      <c r="G9" s="27">
        <f>1658.25</f>
        <v>1658.25</v>
      </c>
      <c r="H9" s="27">
        <f t="shared" si="0"/>
        <v>56432.549999999996</v>
      </c>
    </row>
    <row r="10" spans="1:8" x14ac:dyDescent="0.25">
      <c r="A10" s="25" t="s">
        <v>14</v>
      </c>
      <c r="B10" s="28">
        <f t="shared" ref="B10:G10" si="1">(B8)+(B9)</f>
        <v>10155.65</v>
      </c>
      <c r="C10" s="28">
        <f t="shared" si="1"/>
        <v>7828.75</v>
      </c>
      <c r="D10" s="28">
        <f t="shared" si="1"/>
        <v>6465.87</v>
      </c>
      <c r="E10" s="28">
        <f t="shared" si="1"/>
        <v>15748.07</v>
      </c>
      <c r="F10" s="28">
        <f t="shared" si="1"/>
        <v>14575.96</v>
      </c>
      <c r="G10" s="28">
        <f t="shared" si="1"/>
        <v>1658.25</v>
      </c>
      <c r="H10" s="28">
        <f t="shared" si="0"/>
        <v>56432.549999999996</v>
      </c>
    </row>
    <row r="11" spans="1:8" x14ac:dyDescent="0.25">
      <c r="A11" s="25" t="s">
        <v>15</v>
      </c>
      <c r="B11" s="28">
        <f t="shared" ref="B11:G11" si="2">(B7)+(B10)</f>
        <v>10155.65</v>
      </c>
      <c r="C11" s="28">
        <f t="shared" si="2"/>
        <v>7828.75</v>
      </c>
      <c r="D11" s="28">
        <f t="shared" si="2"/>
        <v>6465.87</v>
      </c>
      <c r="E11" s="28">
        <f t="shared" si="2"/>
        <v>15748.07</v>
      </c>
      <c r="F11" s="28">
        <f t="shared" si="2"/>
        <v>14575.96</v>
      </c>
      <c r="G11" s="28">
        <f t="shared" si="2"/>
        <v>1658.25</v>
      </c>
      <c r="H11" s="28">
        <f t="shared" si="0"/>
        <v>56432.549999999996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f>-847.97</f>
        <v>-847.97</v>
      </c>
      <c r="C13" s="27">
        <f>-1054.02</f>
        <v>-1054.02</v>
      </c>
      <c r="D13" s="27">
        <f>-902.18</f>
        <v>-902.18</v>
      </c>
      <c r="E13" s="27">
        <f>-2180.63</f>
        <v>-2180.63</v>
      </c>
      <c r="F13" s="27">
        <f>-1803.52</f>
        <v>-1803.52</v>
      </c>
      <c r="G13" s="27">
        <f>-256.05</f>
        <v>-256.05</v>
      </c>
      <c r="H13" s="27">
        <f t="shared" si="0"/>
        <v>-7044.37</v>
      </c>
    </row>
    <row r="14" spans="1:8" x14ac:dyDescent="0.25">
      <c r="A14" s="25" t="s">
        <v>41</v>
      </c>
      <c r="B14" s="28">
        <f t="shared" ref="B14:G14" si="3">(B12)+(B13)</f>
        <v>-847.97</v>
      </c>
      <c r="C14" s="28">
        <f t="shared" si="3"/>
        <v>-1054.02</v>
      </c>
      <c r="D14" s="28">
        <f t="shared" si="3"/>
        <v>-902.18</v>
      </c>
      <c r="E14" s="28">
        <f t="shared" si="3"/>
        <v>-2180.63</v>
      </c>
      <c r="F14" s="28">
        <f t="shared" si="3"/>
        <v>-1803.52</v>
      </c>
      <c r="G14" s="28">
        <f t="shared" si="3"/>
        <v>-256.05</v>
      </c>
      <c r="H14" s="28">
        <f t="shared" si="0"/>
        <v>-7044.37</v>
      </c>
    </row>
    <row r="15" spans="1:8" x14ac:dyDescent="0.25">
      <c r="A15" s="25" t="s">
        <v>16</v>
      </c>
      <c r="B15" s="28">
        <f t="shared" ref="B15:G15" si="4">(B11)+(B14)</f>
        <v>9307.68</v>
      </c>
      <c r="C15" s="28">
        <f t="shared" si="4"/>
        <v>6774.73</v>
      </c>
      <c r="D15" s="28">
        <f t="shared" si="4"/>
        <v>5563.69</v>
      </c>
      <c r="E15" s="28">
        <f t="shared" si="4"/>
        <v>13567.439999999999</v>
      </c>
      <c r="F15" s="28">
        <f t="shared" si="4"/>
        <v>12772.439999999999</v>
      </c>
      <c r="G15" s="28">
        <f t="shared" si="4"/>
        <v>1402.2</v>
      </c>
      <c r="H15" s="28">
        <f t="shared" si="0"/>
        <v>49388.179999999993</v>
      </c>
    </row>
    <row r="16" spans="1:8" x14ac:dyDescent="0.25">
      <c r="A16" s="25" t="s">
        <v>17</v>
      </c>
      <c r="B16" s="28">
        <f t="shared" ref="B16:G16" si="5">(B15)-(0)</f>
        <v>9307.68</v>
      </c>
      <c r="C16" s="28">
        <f t="shared" si="5"/>
        <v>6774.73</v>
      </c>
      <c r="D16" s="28">
        <f t="shared" si="5"/>
        <v>5563.69</v>
      </c>
      <c r="E16" s="28">
        <f t="shared" si="5"/>
        <v>13567.439999999999</v>
      </c>
      <c r="F16" s="28">
        <f t="shared" si="5"/>
        <v>12772.439999999999</v>
      </c>
      <c r="G16" s="28">
        <f t="shared" si="5"/>
        <v>1402.2</v>
      </c>
      <c r="H16" s="28">
        <f t="shared" si="0"/>
        <v>49388.179999999993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37" si="6">(((((B18)+(C18))+(D18))+(E18))+(F18))+(G18)</f>
        <v>0</v>
      </c>
    </row>
    <row r="19" spans="1:8" x14ac:dyDescent="0.25">
      <c r="A19" s="25" t="s">
        <v>20</v>
      </c>
      <c r="B19" s="27">
        <f>139.26</f>
        <v>139.26</v>
      </c>
      <c r="C19" s="27">
        <f>278.51</f>
        <v>278.51</v>
      </c>
      <c r="D19" s="26"/>
      <c r="E19" s="27">
        <f>139.25</f>
        <v>139.25</v>
      </c>
      <c r="F19" s="26"/>
      <c r="G19" s="26"/>
      <c r="H19" s="27">
        <f t="shared" si="6"/>
        <v>557.02</v>
      </c>
    </row>
    <row r="20" spans="1:8" x14ac:dyDescent="0.25">
      <c r="A20" s="25" t="s">
        <v>21</v>
      </c>
      <c r="B20" s="27">
        <f>430.45</f>
        <v>430.45</v>
      </c>
      <c r="C20" s="27">
        <f>334.55</f>
        <v>334.55</v>
      </c>
      <c r="D20" s="27">
        <f>430.45</f>
        <v>430.45</v>
      </c>
      <c r="E20" s="27">
        <f>395.45</f>
        <v>395.45</v>
      </c>
      <c r="F20" s="27">
        <f>385</f>
        <v>385</v>
      </c>
      <c r="G20" s="27">
        <f>812.28</f>
        <v>812.28</v>
      </c>
      <c r="H20" s="27">
        <f t="shared" si="6"/>
        <v>2788.1800000000003</v>
      </c>
    </row>
    <row r="21" spans="1:8" x14ac:dyDescent="0.25">
      <c r="A21" s="25" t="s">
        <v>22</v>
      </c>
      <c r="B21" s="27">
        <f>283.1</f>
        <v>283.10000000000002</v>
      </c>
      <c r="C21" s="27">
        <f>484.29</f>
        <v>484.29</v>
      </c>
      <c r="D21" s="27">
        <f>340.83</f>
        <v>340.83</v>
      </c>
      <c r="E21" s="27">
        <f>293.49</f>
        <v>293.49</v>
      </c>
      <c r="F21" s="27">
        <f>390.88</f>
        <v>390.88</v>
      </c>
      <c r="G21" s="27">
        <f>292.22</f>
        <v>292.22000000000003</v>
      </c>
      <c r="H21" s="27">
        <f t="shared" si="6"/>
        <v>2084.8100000000004</v>
      </c>
    </row>
    <row r="22" spans="1:8" x14ac:dyDescent="0.25">
      <c r="A22" s="25" t="s">
        <v>24</v>
      </c>
      <c r="B22" s="26"/>
      <c r="C22" s="26"/>
      <c r="D22" s="26"/>
      <c r="E22" s="26"/>
      <c r="F22" s="26"/>
      <c r="G22" s="26"/>
      <c r="H22" s="27">
        <f t="shared" si="6"/>
        <v>0</v>
      </c>
    </row>
    <row r="23" spans="1:8" x14ac:dyDescent="0.25">
      <c r="A23" s="25" t="s">
        <v>25</v>
      </c>
      <c r="B23" s="26"/>
      <c r="C23" s="26"/>
      <c r="D23" s="26"/>
      <c r="E23" s="26"/>
      <c r="F23" s="26"/>
      <c r="G23" s="27">
        <f>2040</f>
        <v>2040</v>
      </c>
      <c r="H23" s="27">
        <f t="shared" si="6"/>
        <v>2040</v>
      </c>
    </row>
    <row r="24" spans="1:8" x14ac:dyDescent="0.25">
      <c r="A24" s="25" t="s">
        <v>26</v>
      </c>
      <c r="B24" s="28">
        <f t="shared" ref="B24:G24" si="7">(B22)+(B23)</f>
        <v>0</v>
      </c>
      <c r="C24" s="28">
        <f t="shared" si="7"/>
        <v>0</v>
      </c>
      <c r="D24" s="28">
        <f t="shared" si="7"/>
        <v>0</v>
      </c>
      <c r="E24" s="28">
        <f t="shared" si="7"/>
        <v>0</v>
      </c>
      <c r="F24" s="28">
        <f t="shared" si="7"/>
        <v>0</v>
      </c>
      <c r="G24" s="28">
        <f t="shared" si="7"/>
        <v>2040</v>
      </c>
      <c r="H24" s="28">
        <f t="shared" si="6"/>
        <v>2040</v>
      </c>
    </row>
    <row r="25" spans="1:8" x14ac:dyDescent="0.25">
      <c r="A25" s="25" t="s">
        <v>27</v>
      </c>
      <c r="B25" s="26"/>
      <c r="C25" s="26"/>
      <c r="D25" s="27">
        <f>57.3</f>
        <v>57.3</v>
      </c>
      <c r="E25" s="26"/>
      <c r="F25" s="27">
        <f>349.54</f>
        <v>349.54</v>
      </c>
      <c r="G25" s="26"/>
      <c r="H25" s="27">
        <f t="shared" si="6"/>
        <v>406.84000000000003</v>
      </c>
    </row>
    <row r="26" spans="1:8" x14ac:dyDescent="0.25">
      <c r="A26" s="25" t="s">
        <v>28</v>
      </c>
      <c r="B26" s="26"/>
      <c r="C26" s="26"/>
      <c r="D26" s="26"/>
      <c r="E26" s="26"/>
      <c r="F26" s="26"/>
      <c r="G26" s="27">
        <f>40.69</f>
        <v>40.69</v>
      </c>
      <c r="H26" s="27">
        <f t="shared" si="6"/>
        <v>40.69</v>
      </c>
    </row>
    <row r="27" spans="1:8" x14ac:dyDescent="0.25">
      <c r="A27" s="25" t="s">
        <v>29</v>
      </c>
      <c r="B27" s="26"/>
      <c r="C27" s="26"/>
      <c r="D27" s="27">
        <f>712.5</f>
        <v>712.5</v>
      </c>
      <c r="E27" s="26"/>
      <c r="F27" s="26"/>
      <c r="G27" s="26"/>
      <c r="H27" s="27">
        <f t="shared" si="6"/>
        <v>712.5</v>
      </c>
    </row>
    <row r="28" spans="1:8" x14ac:dyDescent="0.25">
      <c r="A28" s="25" t="s">
        <v>30</v>
      </c>
      <c r="B28" s="26"/>
      <c r="C28" s="26"/>
      <c r="D28" s="26"/>
      <c r="E28" s="26"/>
      <c r="F28" s="27">
        <f>115.91</f>
        <v>115.91</v>
      </c>
      <c r="G28" s="26"/>
      <c r="H28" s="27">
        <f t="shared" si="6"/>
        <v>115.91</v>
      </c>
    </row>
    <row r="29" spans="1:8" x14ac:dyDescent="0.25">
      <c r="A29" s="25" t="s">
        <v>42</v>
      </c>
      <c r="B29" s="26"/>
      <c r="C29" s="26"/>
      <c r="D29" s="26"/>
      <c r="E29" s="26"/>
      <c r="F29" s="27">
        <f>204.75</f>
        <v>204.75</v>
      </c>
      <c r="G29" s="26"/>
      <c r="H29" s="27">
        <f t="shared" si="6"/>
        <v>204.75</v>
      </c>
    </row>
    <row r="30" spans="1:8" x14ac:dyDescent="0.25">
      <c r="A30" s="25" t="s">
        <v>64</v>
      </c>
      <c r="B30" s="26"/>
      <c r="C30" s="26"/>
      <c r="D30" s="27">
        <f>249.48</f>
        <v>249.48</v>
      </c>
      <c r="E30" s="26"/>
      <c r="F30" s="26"/>
      <c r="G30" s="26"/>
      <c r="H30" s="27">
        <f t="shared" si="6"/>
        <v>249.48</v>
      </c>
    </row>
    <row r="31" spans="1:8" x14ac:dyDescent="0.25">
      <c r="A31" s="25" t="s">
        <v>31</v>
      </c>
      <c r="B31" s="26"/>
      <c r="C31" s="26"/>
      <c r="D31" s="26"/>
      <c r="E31" s="26"/>
      <c r="F31" s="26"/>
      <c r="G31" s="27">
        <f>29.95</f>
        <v>29.95</v>
      </c>
      <c r="H31" s="27">
        <f t="shared" si="6"/>
        <v>29.95</v>
      </c>
    </row>
    <row r="32" spans="1:8" x14ac:dyDescent="0.25">
      <c r="A32" s="25" t="s">
        <v>32</v>
      </c>
      <c r="B32" s="26"/>
      <c r="C32" s="26"/>
      <c r="D32" s="26"/>
      <c r="E32" s="27">
        <f>79.95</f>
        <v>79.95</v>
      </c>
      <c r="F32" s="26"/>
      <c r="G32" s="26"/>
      <c r="H32" s="27">
        <f t="shared" si="6"/>
        <v>79.95</v>
      </c>
    </row>
    <row r="33" spans="1:8" x14ac:dyDescent="0.25">
      <c r="A33" s="25" t="s">
        <v>33</v>
      </c>
      <c r="B33" s="27">
        <f>545.58</f>
        <v>545.58000000000004</v>
      </c>
      <c r="C33" s="27">
        <f>384.44</f>
        <v>384.44</v>
      </c>
      <c r="D33" s="27">
        <f>283.27</f>
        <v>283.27</v>
      </c>
      <c r="E33" s="27">
        <f>621.76</f>
        <v>621.76</v>
      </c>
      <c r="F33" s="27">
        <f>654.62</f>
        <v>654.62</v>
      </c>
      <c r="G33" s="27">
        <f>179.23</f>
        <v>179.23</v>
      </c>
      <c r="H33" s="27">
        <f t="shared" si="6"/>
        <v>2668.9</v>
      </c>
    </row>
    <row r="34" spans="1:8" x14ac:dyDescent="0.25">
      <c r="A34" s="25" t="s">
        <v>65</v>
      </c>
      <c r="B34" s="26"/>
      <c r="C34" s="26"/>
      <c r="D34" s="26"/>
      <c r="E34" s="26"/>
      <c r="F34" s="27">
        <f>6915</f>
        <v>6915</v>
      </c>
      <c r="G34" s="27">
        <f>1140</f>
        <v>1140</v>
      </c>
      <c r="H34" s="27">
        <f t="shared" si="6"/>
        <v>8055</v>
      </c>
    </row>
    <row r="35" spans="1:8" x14ac:dyDescent="0.25">
      <c r="A35" s="25" t="s">
        <v>34</v>
      </c>
      <c r="B35" s="28">
        <f t="shared" ref="B35:G35" si="8">((((((((((((((B18)+(B19))+(B20))+(B21))+(B24))+(B25))+(B26))+(B27))+(B28))+(B29))+(B30))+(B31))+(B32))+(B33))+(B34)</f>
        <v>1398.39</v>
      </c>
      <c r="C35" s="28">
        <f t="shared" si="8"/>
        <v>1481.79</v>
      </c>
      <c r="D35" s="28">
        <f t="shared" si="8"/>
        <v>2073.83</v>
      </c>
      <c r="E35" s="28">
        <f t="shared" si="8"/>
        <v>1529.9</v>
      </c>
      <c r="F35" s="28">
        <f t="shared" si="8"/>
        <v>9015.7000000000007</v>
      </c>
      <c r="G35" s="28">
        <f t="shared" si="8"/>
        <v>4534.37</v>
      </c>
      <c r="H35" s="28">
        <f t="shared" si="6"/>
        <v>20033.98</v>
      </c>
    </row>
    <row r="36" spans="1:8" x14ac:dyDescent="0.25">
      <c r="A36" s="25" t="s">
        <v>35</v>
      </c>
      <c r="B36" s="28">
        <f t="shared" ref="B36:G36" si="9">B35</f>
        <v>1398.39</v>
      </c>
      <c r="C36" s="28">
        <f t="shared" si="9"/>
        <v>1481.79</v>
      </c>
      <c r="D36" s="28">
        <f t="shared" si="9"/>
        <v>2073.83</v>
      </c>
      <c r="E36" s="28">
        <f t="shared" si="9"/>
        <v>1529.9</v>
      </c>
      <c r="F36" s="28">
        <f t="shared" si="9"/>
        <v>9015.7000000000007</v>
      </c>
      <c r="G36" s="28">
        <f t="shared" si="9"/>
        <v>4534.37</v>
      </c>
      <c r="H36" s="28">
        <f t="shared" si="6"/>
        <v>20033.98</v>
      </c>
    </row>
    <row r="37" spans="1:8" x14ac:dyDescent="0.25">
      <c r="A37" s="25" t="s">
        <v>36</v>
      </c>
      <c r="B37" s="28">
        <f t="shared" ref="B37:G37" si="10">(((B16)-(B36))+(0))-(0)</f>
        <v>7909.29</v>
      </c>
      <c r="C37" s="28">
        <f t="shared" si="10"/>
        <v>5292.94</v>
      </c>
      <c r="D37" s="28">
        <f t="shared" si="10"/>
        <v>3489.8599999999997</v>
      </c>
      <c r="E37" s="28">
        <f t="shared" si="10"/>
        <v>12037.539999999999</v>
      </c>
      <c r="F37" s="28">
        <f t="shared" si="10"/>
        <v>3756.739999999998</v>
      </c>
      <c r="G37" s="28">
        <f t="shared" si="10"/>
        <v>-3132.17</v>
      </c>
      <c r="H37" s="28">
        <f t="shared" si="6"/>
        <v>29354.199999999997</v>
      </c>
    </row>
    <row r="38" spans="1:8" x14ac:dyDescent="0.25">
      <c r="A38" s="25"/>
      <c r="B38" s="26"/>
      <c r="C38" s="26"/>
      <c r="D38" s="26"/>
      <c r="E38" s="26"/>
      <c r="F38" s="26"/>
      <c r="G38" s="26"/>
      <c r="H38" s="26"/>
    </row>
    <row r="41" spans="1:8" x14ac:dyDescent="0.25">
      <c r="A41" s="29" t="s">
        <v>72</v>
      </c>
      <c r="B41" s="2"/>
      <c r="C41" s="2"/>
      <c r="D41" s="2"/>
      <c r="E41" s="2"/>
      <c r="F41" s="2"/>
      <c r="G41" s="2"/>
      <c r="H41" s="2"/>
    </row>
  </sheetData>
  <mergeCells count="4">
    <mergeCell ref="A1:H1"/>
    <mergeCell ref="A2:H2"/>
    <mergeCell ref="A3:H3"/>
    <mergeCell ref="A41:H4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1AB2B-B163-46AF-92D9-955684FAA382}">
  <dimension ref="A1:H39"/>
  <sheetViews>
    <sheetView topLeftCell="A16" workbookViewId="0">
      <selection activeCell="I33" sqref="I33"/>
    </sheetView>
  </sheetViews>
  <sheetFormatPr defaultRowHeight="15" x14ac:dyDescent="0.25"/>
  <cols>
    <col min="1" max="1" width="30.140625" customWidth="1"/>
    <col min="2" max="5" width="8.5703125" customWidth="1"/>
    <col min="6" max="6" width="11.140625" customWidth="1"/>
    <col min="7" max="7" width="10.28515625" customWidth="1"/>
    <col min="8" max="8" width="11.1406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75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7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7448.04</f>
        <v>7448.04</v>
      </c>
      <c r="C9" s="27">
        <f>8687.27</f>
        <v>8687.27</v>
      </c>
      <c r="D9" s="27">
        <f>9243.15</f>
        <v>9243.15</v>
      </c>
      <c r="E9" s="27">
        <f>8720.61</f>
        <v>8720.61</v>
      </c>
      <c r="F9" s="27">
        <f>8071.55</f>
        <v>8071.55</v>
      </c>
      <c r="G9" s="27">
        <f>4495.03</f>
        <v>4495.03</v>
      </c>
      <c r="H9" s="27">
        <f t="shared" si="0"/>
        <v>46665.65</v>
      </c>
    </row>
    <row r="10" spans="1:8" x14ac:dyDescent="0.25">
      <c r="A10" s="25" t="s">
        <v>14</v>
      </c>
      <c r="B10" s="28">
        <f t="shared" ref="B10:G10" si="1">(B8)+(B9)</f>
        <v>7448.04</v>
      </c>
      <c r="C10" s="28">
        <f t="shared" si="1"/>
        <v>8687.27</v>
      </c>
      <c r="D10" s="28">
        <f t="shared" si="1"/>
        <v>9243.15</v>
      </c>
      <c r="E10" s="28">
        <f t="shared" si="1"/>
        <v>8720.61</v>
      </c>
      <c r="F10" s="28">
        <f t="shared" si="1"/>
        <v>8071.55</v>
      </c>
      <c r="G10" s="28">
        <f t="shared" si="1"/>
        <v>4495.03</v>
      </c>
      <c r="H10" s="28">
        <f t="shared" si="0"/>
        <v>46665.65</v>
      </c>
    </row>
    <row r="11" spans="1:8" x14ac:dyDescent="0.25">
      <c r="A11" s="25" t="s">
        <v>15</v>
      </c>
      <c r="B11" s="28">
        <f t="shared" ref="B11:G11" si="2">(B7)+(B10)</f>
        <v>7448.04</v>
      </c>
      <c r="C11" s="28">
        <f t="shared" si="2"/>
        <v>8687.27</v>
      </c>
      <c r="D11" s="28">
        <f t="shared" si="2"/>
        <v>9243.15</v>
      </c>
      <c r="E11" s="28">
        <f t="shared" si="2"/>
        <v>8720.61</v>
      </c>
      <c r="F11" s="28">
        <f t="shared" si="2"/>
        <v>8071.55</v>
      </c>
      <c r="G11" s="28">
        <f t="shared" si="2"/>
        <v>4495.03</v>
      </c>
      <c r="H11" s="28">
        <f t="shared" si="0"/>
        <v>46665.65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76</v>
      </c>
      <c r="B13" s="27">
        <f>-171.6</f>
        <v>-171.6</v>
      </c>
      <c r="C13" s="27">
        <f>-219.82</f>
        <v>-219.82</v>
      </c>
      <c r="D13" s="27">
        <f>-290.46</f>
        <v>-290.45999999999998</v>
      </c>
      <c r="E13" s="27">
        <f>-253.3</f>
        <v>-253.3</v>
      </c>
      <c r="F13" s="27">
        <f>-216.24</f>
        <v>-216.24</v>
      </c>
      <c r="G13" s="27">
        <f>-141.66</f>
        <v>-141.66</v>
      </c>
      <c r="H13" s="27">
        <f t="shared" si="0"/>
        <v>-1293.08</v>
      </c>
    </row>
    <row r="14" spans="1:8" x14ac:dyDescent="0.25">
      <c r="A14" s="25" t="s">
        <v>40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f t="shared" si="0"/>
        <v>0</v>
      </c>
    </row>
    <row r="15" spans="1:8" x14ac:dyDescent="0.25">
      <c r="A15" s="25" t="s">
        <v>41</v>
      </c>
      <c r="B15" s="28">
        <f t="shared" ref="B15:G15" si="3">((B12)+(B13))+(B14)</f>
        <v>-171.6</v>
      </c>
      <c r="C15" s="28">
        <f t="shared" si="3"/>
        <v>-219.82</v>
      </c>
      <c r="D15" s="28">
        <f t="shared" si="3"/>
        <v>-290.45999999999998</v>
      </c>
      <c r="E15" s="28">
        <f t="shared" si="3"/>
        <v>-253.3</v>
      </c>
      <c r="F15" s="28">
        <f t="shared" si="3"/>
        <v>-216.24</v>
      </c>
      <c r="G15" s="28">
        <f t="shared" si="3"/>
        <v>-141.66</v>
      </c>
      <c r="H15" s="28">
        <f t="shared" si="0"/>
        <v>-1293.08</v>
      </c>
    </row>
    <row r="16" spans="1:8" x14ac:dyDescent="0.25">
      <c r="A16" s="25" t="s">
        <v>16</v>
      </c>
      <c r="B16" s="28">
        <f t="shared" ref="B16:G16" si="4">(B11)+(B15)</f>
        <v>7276.44</v>
      </c>
      <c r="C16" s="28">
        <f t="shared" si="4"/>
        <v>8467.4500000000007</v>
      </c>
      <c r="D16" s="28">
        <f t="shared" si="4"/>
        <v>8952.69</v>
      </c>
      <c r="E16" s="28">
        <f t="shared" si="4"/>
        <v>8467.3100000000013</v>
      </c>
      <c r="F16" s="28">
        <f t="shared" si="4"/>
        <v>7855.31</v>
      </c>
      <c r="G16" s="28">
        <f t="shared" si="4"/>
        <v>4353.37</v>
      </c>
      <c r="H16" s="28">
        <f t="shared" si="0"/>
        <v>45372.57</v>
      </c>
    </row>
    <row r="17" spans="1:8" x14ac:dyDescent="0.25">
      <c r="A17" s="25" t="s">
        <v>17</v>
      </c>
      <c r="B17" s="28">
        <f t="shared" ref="B17:G17" si="5">(B16)-(0)</f>
        <v>7276.44</v>
      </c>
      <c r="C17" s="28">
        <f t="shared" si="5"/>
        <v>8467.4500000000007</v>
      </c>
      <c r="D17" s="28">
        <f t="shared" si="5"/>
        <v>8952.69</v>
      </c>
      <c r="E17" s="28">
        <f t="shared" si="5"/>
        <v>8467.3100000000013</v>
      </c>
      <c r="F17" s="28">
        <f t="shared" si="5"/>
        <v>7855.31</v>
      </c>
      <c r="G17" s="28">
        <f t="shared" si="5"/>
        <v>4353.37</v>
      </c>
      <c r="H17" s="28">
        <f t="shared" si="0"/>
        <v>45372.57</v>
      </c>
    </row>
    <row r="18" spans="1:8" x14ac:dyDescent="0.25">
      <c r="A18" s="25" t="s">
        <v>18</v>
      </c>
      <c r="B18" s="26"/>
      <c r="C18" s="26"/>
      <c r="D18" s="26"/>
      <c r="E18" s="26"/>
      <c r="F18" s="26"/>
      <c r="G18" s="26"/>
      <c r="H18" s="26"/>
    </row>
    <row r="19" spans="1:8" x14ac:dyDescent="0.25">
      <c r="A19" s="25" t="s">
        <v>19</v>
      </c>
      <c r="B19" s="26"/>
      <c r="C19" s="26"/>
      <c r="D19" s="26"/>
      <c r="E19" s="26"/>
      <c r="F19" s="26"/>
      <c r="G19" s="26"/>
      <c r="H19" s="27">
        <f t="shared" ref="H19:H35" si="6">(((((B19)+(C19))+(D19))+(E19))+(F19))+(G19)</f>
        <v>0</v>
      </c>
    </row>
    <row r="20" spans="1:8" x14ac:dyDescent="0.25">
      <c r="A20" s="25" t="s">
        <v>20</v>
      </c>
      <c r="B20" s="27">
        <f>829.64</f>
        <v>829.64</v>
      </c>
      <c r="C20" s="27">
        <f>829.62</f>
        <v>829.62</v>
      </c>
      <c r="D20" s="26"/>
      <c r="E20" s="27">
        <f>829.62</f>
        <v>829.62</v>
      </c>
      <c r="F20" s="26"/>
      <c r="G20" s="27">
        <f>4491.07</f>
        <v>4491.07</v>
      </c>
      <c r="H20" s="27">
        <f t="shared" si="6"/>
        <v>6979.95</v>
      </c>
    </row>
    <row r="21" spans="1:8" x14ac:dyDescent="0.25">
      <c r="A21" s="25" t="s">
        <v>21</v>
      </c>
      <c r="B21" s="27">
        <f>430.45</f>
        <v>430.45</v>
      </c>
      <c r="C21" s="27">
        <f>334.55</f>
        <v>334.55</v>
      </c>
      <c r="D21" s="27">
        <f>430.45</f>
        <v>430.45</v>
      </c>
      <c r="E21" s="27">
        <f>395.45</f>
        <v>395.45</v>
      </c>
      <c r="F21" s="27">
        <f>385</f>
        <v>385</v>
      </c>
      <c r="G21" s="27">
        <f>812.28</f>
        <v>812.28</v>
      </c>
      <c r="H21" s="27">
        <f t="shared" si="6"/>
        <v>2788.1800000000003</v>
      </c>
    </row>
    <row r="22" spans="1:8" x14ac:dyDescent="0.25">
      <c r="A22" s="25" t="s">
        <v>22</v>
      </c>
      <c r="B22" s="27">
        <f>436.53</f>
        <v>436.53</v>
      </c>
      <c r="C22" s="27">
        <f>781.75</f>
        <v>781.75</v>
      </c>
      <c r="D22" s="27">
        <f>570.91</f>
        <v>570.91</v>
      </c>
      <c r="E22" s="27">
        <f>432.26</f>
        <v>432.26</v>
      </c>
      <c r="F22" s="27">
        <f>472.06</f>
        <v>472.06</v>
      </c>
      <c r="G22" s="27">
        <f>369.47</f>
        <v>369.47</v>
      </c>
      <c r="H22" s="27">
        <f t="shared" si="6"/>
        <v>3062.9799999999996</v>
      </c>
    </row>
    <row r="23" spans="1:8" x14ac:dyDescent="0.25">
      <c r="A23" s="25" t="s">
        <v>24</v>
      </c>
      <c r="B23" s="26"/>
      <c r="C23" s="26"/>
      <c r="D23" s="26"/>
      <c r="E23" s="26"/>
      <c r="F23" s="26"/>
      <c r="G23" s="26"/>
      <c r="H23" s="27">
        <f t="shared" si="6"/>
        <v>0</v>
      </c>
    </row>
    <row r="24" spans="1:8" x14ac:dyDescent="0.25">
      <c r="A24" s="25" t="s">
        <v>25</v>
      </c>
      <c r="B24" s="26"/>
      <c r="C24" s="26"/>
      <c r="D24" s="26"/>
      <c r="E24" s="26"/>
      <c r="F24" s="26"/>
      <c r="G24" s="27">
        <f>3000</f>
        <v>3000</v>
      </c>
      <c r="H24" s="27">
        <f t="shared" si="6"/>
        <v>3000</v>
      </c>
    </row>
    <row r="25" spans="1:8" x14ac:dyDescent="0.25">
      <c r="A25" s="25" t="s">
        <v>26</v>
      </c>
      <c r="B25" s="28">
        <f t="shared" ref="B25:G25" si="7">(B23)+(B24)</f>
        <v>0</v>
      </c>
      <c r="C25" s="28">
        <f t="shared" si="7"/>
        <v>0</v>
      </c>
      <c r="D25" s="28">
        <f t="shared" si="7"/>
        <v>0</v>
      </c>
      <c r="E25" s="28">
        <f t="shared" si="7"/>
        <v>0</v>
      </c>
      <c r="F25" s="28">
        <f t="shared" si="7"/>
        <v>0</v>
      </c>
      <c r="G25" s="28">
        <f t="shared" si="7"/>
        <v>3000</v>
      </c>
      <c r="H25" s="28">
        <f t="shared" si="6"/>
        <v>3000</v>
      </c>
    </row>
    <row r="26" spans="1:8" x14ac:dyDescent="0.25">
      <c r="A26" s="25" t="s">
        <v>27</v>
      </c>
      <c r="B26" s="26"/>
      <c r="C26" s="26"/>
      <c r="D26" s="27">
        <f>57.3</f>
        <v>57.3</v>
      </c>
      <c r="E26" s="26"/>
      <c r="F26" s="27">
        <f>189.44</f>
        <v>189.44</v>
      </c>
      <c r="G26" s="26"/>
      <c r="H26" s="27">
        <f t="shared" si="6"/>
        <v>246.74</v>
      </c>
    </row>
    <row r="27" spans="1:8" x14ac:dyDescent="0.25">
      <c r="A27" s="25" t="s">
        <v>28</v>
      </c>
      <c r="B27" s="26"/>
      <c r="C27" s="26"/>
      <c r="D27" s="26"/>
      <c r="E27" s="26"/>
      <c r="F27" s="27">
        <f>725</f>
        <v>725</v>
      </c>
      <c r="G27" s="27">
        <f>149.38</f>
        <v>149.38</v>
      </c>
      <c r="H27" s="27">
        <f t="shared" si="6"/>
        <v>874.38</v>
      </c>
    </row>
    <row r="28" spans="1:8" x14ac:dyDescent="0.25">
      <c r="A28" s="25" t="s">
        <v>30</v>
      </c>
      <c r="B28" s="26"/>
      <c r="C28" s="26"/>
      <c r="D28" s="26"/>
      <c r="E28" s="26"/>
      <c r="F28" s="27">
        <f>115.91</f>
        <v>115.91</v>
      </c>
      <c r="G28" s="26"/>
      <c r="H28" s="27">
        <f t="shared" si="6"/>
        <v>115.91</v>
      </c>
    </row>
    <row r="29" spans="1:8" x14ac:dyDescent="0.25">
      <c r="A29" s="25" t="s">
        <v>31</v>
      </c>
      <c r="B29" s="26"/>
      <c r="C29" s="26"/>
      <c r="D29" s="26"/>
      <c r="E29" s="26"/>
      <c r="F29" s="26"/>
      <c r="G29" s="27">
        <f>109.96</f>
        <v>109.96</v>
      </c>
      <c r="H29" s="27">
        <f t="shared" si="6"/>
        <v>109.96</v>
      </c>
    </row>
    <row r="30" spans="1:8" x14ac:dyDescent="0.25">
      <c r="A30" s="25" t="s">
        <v>32</v>
      </c>
      <c r="B30" s="26"/>
      <c r="C30" s="26"/>
      <c r="D30" s="26"/>
      <c r="E30" s="27">
        <f>79.95</f>
        <v>79.95</v>
      </c>
      <c r="F30" s="26"/>
      <c r="G30" s="26"/>
      <c r="H30" s="27">
        <f t="shared" si="6"/>
        <v>79.95</v>
      </c>
    </row>
    <row r="31" spans="1:8" x14ac:dyDescent="0.25">
      <c r="A31" s="25" t="s">
        <v>33</v>
      </c>
      <c r="B31" s="27">
        <f>400.13</f>
        <v>400.13</v>
      </c>
      <c r="C31" s="27">
        <f>426.6</f>
        <v>426.6</v>
      </c>
      <c r="D31" s="27">
        <f>404.95</f>
        <v>404.95</v>
      </c>
      <c r="E31" s="27">
        <f>344.3</f>
        <v>344.3</v>
      </c>
      <c r="F31" s="27">
        <f>361.96</f>
        <v>361.96</v>
      </c>
      <c r="G31" s="27">
        <f>485.85</f>
        <v>485.85</v>
      </c>
      <c r="H31" s="27">
        <f t="shared" si="6"/>
        <v>2423.79</v>
      </c>
    </row>
    <row r="32" spans="1:8" x14ac:dyDescent="0.25">
      <c r="A32" s="25" t="s">
        <v>65</v>
      </c>
      <c r="B32" s="26"/>
      <c r="C32" s="26"/>
      <c r="D32" s="26"/>
      <c r="E32" s="26"/>
      <c r="F32" s="27">
        <f>47137.12</f>
        <v>47137.120000000003</v>
      </c>
      <c r="G32" s="26"/>
      <c r="H32" s="27">
        <f t="shared" si="6"/>
        <v>47137.120000000003</v>
      </c>
    </row>
    <row r="33" spans="1:8" x14ac:dyDescent="0.25">
      <c r="A33" s="25" t="s">
        <v>34</v>
      </c>
      <c r="B33" s="28">
        <f t="shared" ref="B33:G33" si="8">(((((((((((B19)+(B20))+(B21))+(B22))+(B25))+(B26))+(B27))+(B28))+(B29))+(B30))+(B31))+(B32)</f>
        <v>2096.75</v>
      </c>
      <c r="C33" s="28">
        <f t="shared" si="8"/>
        <v>2372.52</v>
      </c>
      <c r="D33" s="28">
        <f t="shared" si="8"/>
        <v>1463.61</v>
      </c>
      <c r="E33" s="28">
        <f t="shared" si="8"/>
        <v>2081.58</v>
      </c>
      <c r="F33" s="28">
        <f t="shared" si="8"/>
        <v>49386.490000000005</v>
      </c>
      <c r="G33" s="28">
        <f t="shared" si="8"/>
        <v>9418.0099999999984</v>
      </c>
      <c r="H33" s="28">
        <f t="shared" si="6"/>
        <v>66818.960000000006</v>
      </c>
    </row>
    <row r="34" spans="1:8" x14ac:dyDescent="0.25">
      <c r="A34" s="25" t="s">
        <v>35</v>
      </c>
      <c r="B34" s="28">
        <f t="shared" ref="B34:G34" si="9">B33</f>
        <v>2096.75</v>
      </c>
      <c r="C34" s="28">
        <f t="shared" si="9"/>
        <v>2372.52</v>
      </c>
      <c r="D34" s="28">
        <f t="shared" si="9"/>
        <v>1463.61</v>
      </c>
      <c r="E34" s="28">
        <f t="shared" si="9"/>
        <v>2081.58</v>
      </c>
      <c r="F34" s="28">
        <f t="shared" si="9"/>
        <v>49386.490000000005</v>
      </c>
      <c r="G34" s="28">
        <f t="shared" si="9"/>
        <v>9418.0099999999984</v>
      </c>
      <c r="H34" s="28">
        <f t="shared" si="6"/>
        <v>66818.960000000006</v>
      </c>
    </row>
    <row r="35" spans="1:8" x14ac:dyDescent="0.25">
      <c r="A35" s="25" t="s">
        <v>36</v>
      </c>
      <c r="B35" s="28">
        <f t="shared" ref="B35:G35" si="10">(((B17)-(B34))+(0))-(0)</f>
        <v>5179.6899999999996</v>
      </c>
      <c r="C35" s="28">
        <f t="shared" si="10"/>
        <v>6094.93</v>
      </c>
      <c r="D35" s="28">
        <f t="shared" si="10"/>
        <v>7489.0800000000008</v>
      </c>
      <c r="E35" s="28">
        <f t="shared" si="10"/>
        <v>6385.7300000000014</v>
      </c>
      <c r="F35" s="28">
        <f t="shared" si="10"/>
        <v>-41531.180000000008</v>
      </c>
      <c r="G35" s="28">
        <f t="shared" si="10"/>
        <v>-5064.6399999999985</v>
      </c>
      <c r="H35" s="28">
        <f t="shared" si="6"/>
        <v>-21446.390000000007</v>
      </c>
    </row>
    <row r="36" spans="1:8" x14ac:dyDescent="0.25">
      <c r="A36" s="25"/>
      <c r="B36" s="26"/>
      <c r="C36" s="26"/>
      <c r="D36" s="26"/>
      <c r="E36" s="26"/>
      <c r="F36" s="26"/>
      <c r="G36" s="26"/>
      <c r="H36" s="26"/>
    </row>
    <row r="39" spans="1:8" x14ac:dyDescent="0.25">
      <c r="A39" s="29" t="s">
        <v>77</v>
      </c>
      <c r="B39" s="2"/>
      <c r="C39" s="2"/>
      <c r="D39" s="2"/>
      <c r="E39" s="2"/>
      <c r="F39" s="2"/>
      <c r="G39" s="2"/>
      <c r="H39" s="2"/>
    </row>
  </sheetData>
  <mergeCells count="4">
    <mergeCell ref="A1:H1"/>
    <mergeCell ref="A2:H2"/>
    <mergeCell ref="A3:H3"/>
    <mergeCell ref="A39:H3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97A90-F3AA-4AA7-A01D-42D17EF66864}">
  <dimension ref="A1:H30"/>
  <sheetViews>
    <sheetView workbookViewId="0">
      <selection activeCell="J12" sqref="J12"/>
    </sheetView>
  </sheetViews>
  <sheetFormatPr defaultRowHeight="15" x14ac:dyDescent="0.25"/>
  <cols>
    <col min="1" max="1" width="26.5703125" customWidth="1"/>
    <col min="2" max="5" width="7.7109375" customWidth="1"/>
    <col min="6" max="6" width="8.5703125" customWidth="1"/>
    <col min="7" max="7" width="7.7109375" customWidth="1"/>
    <col min="8" max="8" width="8.5703125" customWidth="1"/>
  </cols>
  <sheetData>
    <row r="1" spans="1:8" ht="18" x14ac:dyDescent="0.25">
      <c r="A1" s="22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22" t="s">
        <v>78</v>
      </c>
      <c r="B2" s="2"/>
      <c r="C2" s="2"/>
      <c r="D2" s="2"/>
      <c r="E2" s="2"/>
      <c r="F2" s="2"/>
      <c r="G2" s="2"/>
      <c r="H2" s="2"/>
    </row>
    <row r="3" spans="1:8" x14ac:dyDescent="0.25">
      <c r="A3" s="23" t="s">
        <v>2</v>
      </c>
      <c r="B3" s="2"/>
      <c r="C3" s="2"/>
      <c r="D3" s="2"/>
      <c r="E3" s="2"/>
      <c r="F3" s="2"/>
      <c r="G3" s="2"/>
      <c r="H3" s="2"/>
    </row>
    <row r="5" spans="1:8" ht="24.75" x14ac:dyDescent="0.25">
      <c r="A5" s="4"/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</row>
    <row r="6" spans="1:8" x14ac:dyDescent="0.25">
      <c r="A6" s="25" t="s">
        <v>10</v>
      </c>
      <c r="B6" s="26"/>
      <c r="C6" s="26"/>
      <c r="D6" s="26"/>
      <c r="E6" s="26"/>
      <c r="F6" s="26"/>
      <c r="G6" s="26"/>
      <c r="H6" s="26"/>
    </row>
    <row r="7" spans="1:8" x14ac:dyDescent="0.25">
      <c r="A7" s="25" t="s">
        <v>11</v>
      </c>
      <c r="B7" s="26"/>
      <c r="C7" s="26"/>
      <c r="D7" s="26"/>
      <c r="E7" s="26"/>
      <c r="F7" s="26"/>
      <c r="G7" s="26"/>
      <c r="H7" s="27">
        <f t="shared" ref="H7:H16" si="0">(((((B7)+(C7))+(D7))+(E7))+(F7))+(G7)</f>
        <v>0</v>
      </c>
    </row>
    <row r="8" spans="1:8" x14ac:dyDescent="0.25">
      <c r="A8" s="25" t="s">
        <v>12</v>
      </c>
      <c r="B8" s="26"/>
      <c r="C8" s="26"/>
      <c r="D8" s="26"/>
      <c r="E8" s="26"/>
      <c r="F8" s="26"/>
      <c r="G8" s="26"/>
      <c r="H8" s="27">
        <f t="shared" si="0"/>
        <v>0</v>
      </c>
    </row>
    <row r="9" spans="1:8" x14ac:dyDescent="0.25">
      <c r="A9" s="25" t="s">
        <v>13</v>
      </c>
      <c r="B9" s="27">
        <f>0</f>
        <v>0</v>
      </c>
      <c r="C9" s="26"/>
      <c r="D9" s="27">
        <f>0</f>
        <v>0</v>
      </c>
      <c r="E9" s="27">
        <f>0</f>
        <v>0</v>
      </c>
      <c r="F9" s="27">
        <f>0</f>
        <v>0</v>
      </c>
      <c r="G9" s="27">
        <f>0</f>
        <v>0</v>
      </c>
      <c r="H9" s="27">
        <f t="shared" si="0"/>
        <v>0</v>
      </c>
    </row>
    <row r="10" spans="1:8" x14ac:dyDescent="0.25">
      <c r="A10" s="25" t="s">
        <v>14</v>
      </c>
      <c r="B10" s="28">
        <f t="shared" ref="B10:G10" si="1">(B8)+(B9)</f>
        <v>0</v>
      </c>
      <c r="C10" s="28">
        <f t="shared" si="1"/>
        <v>0</v>
      </c>
      <c r="D10" s="28">
        <f t="shared" si="1"/>
        <v>0</v>
      </c>
      <c r="E10" s="28">
        <f t="shared" si="1"/>
        <v>0</v>
      </c>
      <c r="F10" s="28">
        <f t="shared" si="1"/>
        <v>0</v>
      </c>
      <c r="G10" s="28">
        <f t="shared" si="1"/>
        <v>0</v>
      </c>
      <c r="H10" s="28">
        <f t="shared" si="0"/>
        <v>0</v>
      </c>
    </row>
    <row r="11" spans="1:8" x14ac:dyDescent="0.25">
      <c r="A11" s="25" t="s">
        <v>15</v>
      </c>
      <c r="B11" s="28">
        <f t="shared" ref="B11:G11" si="2">(B7)+(B10)</f>
        <v>0</v>
      </c>
      <c r="C11" s="28">
        <f t="shared" si="2"/>
        <v>0</v>
      </c>
      <c r="D11" s="28">
        <f t="shared" si="2"/>
        <v>0</v>
      </c>
      <c r="E11" s="28">
        <f t="shared" si="2"/>
        <v>0</v>
      </c>
      <c r="F11" s="28">
        <f t="shared" si="2"/>
        <v>0</v>
      </c>
      <c r="G11" s="28">
        <f t="shared" si="2"/>
        <v>0</v>
      </c>
      <c r="H11" s="28">
        <f t="shared" si="0"/>
        <v>0</v>
      </c>
    </row>
    <row r="12" spans="1:8" x14ac:dyDescent="0.25">
      <c r="A12" s="25" t="s">
        <v>39</v>
      </c>
      <c r="B12" s="26"/>
      <c r="C12" s="26"/>
      <c r="D12" s="26"/>
      <c r="E12" s="26"/>
      <c r="F12" s="26"/>
      <c r="G12" s="26"/>
      <c r="H12" s="27">
        <f t="shared" si="0"/>
        <v>0</v>
      </c>
    </row>
    <row r="13" spans="1:8" x14ac:dyDescent="0.25">
      <c r="A13" s="25" t="s">
        <v>40</v>
      </c>
      <c r="B13" s="27">
        <f>0</f>
        <v>0</v>
      </c>
      <c r="C13" s="27">
        <f>0</f>
        <v>0</v>
      </c>
      <c r="D13" s="27">
        <f>0</f>
        <v>0</v>
      </c>
      <c r="E13" s="27">
        <f>0</f>
        <v>0</v>
      </c>
      <c r="F13" s="27">
        <f>0</f>
        <v>0</v>
      </c>
      <c r="G13" s="27">
        <f>0</f>
        <v>0</v>
      </c>
      <c r="H13" s="27">
        <f t="shared" si="0"/>
        <v>0</v>
      </c>
    </row>
    <row r="14" spans="1:8" x14ac:dyDescent="0.25">
      <c r="A14" s="25" t="s">
        <v>41</v>
      </c>
      <c r="B14" s="28">
        <f t="shared" ref="B14:G14" si="3">(B12)+(B13)</f>
        <v>0</v>
      </c>
      <c r="C14" s="28">
        <f t="shared" si="3"/>
        <v>0</v>
      </c>
      <c r="D14" s="28">
        <f t="shared" si="3"/>
        <v>0</v>
      </c>
      <c r="E14" s="28">
        <f t="shared" si="3"/>
        <v>0</v>
      </c>
      <c r="F14" s="28">
        <f t="shared" si="3"/>
        <v>0</v>
      </c>
      <c r="G14" s="28">
        <f t="shared" si="3"/>
        <v>0</v>
      </c>
      <c r="H14" s="28">
        <f t="shared" si="0"/>
        <v>0</v>
      </c>
    </row>
    <row r="15" spans="1:8" x14ac:dyDescent="0.25">
      <c r="A15" s="25" t="s">
        <v>16</v>
      </c>
      <c r="B15" s="28">
        <f t="shared" ref="B15:G15" si="4">(B11)+(B14)</f>
        <v>0</v>
      </c>
      <c r="C15" s="28">
        <f t="shared" si="4"/>
        <v>0</v>
      </c>
      <c r="D15" s="28">
        <f t="shared" si="4"/>
        <v>0</v>
      </c>
      <c r="E15" s="28">
        <f t="shared" si="4"/>
        <v>0</v>
      </c>
      <c r="F15" s="28">
        <f t="shared" si="4"/>
        <v>0</v>
      </c>
      <c r="G15" s="28">
        <f t="shared" si="4"/>
        <v>0</v>
      </c>
      <c r="H15" s="28">
        <f t="shared" si="0"/>
        <v>0</v>
      </c>
    </row>
    <row r="16" spans="1:8" x14ac:dyDescent="0.25">
      <c r="A16" s="25" t="s">
        <v>17</v>
      </c>
      <c r="B16" s="28">
        <f t="shared" ref="B16:G16" si="5">(B15)-(0)</f>
        <v>0</v>
      </c>
      <c r="C16" s="28">
        <f t="shared" si="5"/>
        <v>0</v>
      </c>
      <c r="D16" s="28">
        <f t="shared" si="5"/>
        <v>0</v>
      </c>
      <c r="E16" s="28">
        <f t="shared" si="5"/>
        <v>0</v>
      </c>
      <c r="F16" s="28">
        <f t="shared" si="5"/>
        <v>0</v>
      </c>
      <c r="G16" s="28">
        <f t="shared" si="5"/>
        <v>0</v>
      </c>
      <c r="H16" s="28">
        <f t="shared" si="0"/>
        <v>0</v>
      </c>
    </row>
    <row r="17" spans="1:8" x14ac:dyDescent="0.25">
      <c r="A17" s="25" t="s">
        <v>18</v>
      </c>
      <c r="B17" s="26"/>
      <c r="C17" s="26"/>
      <c r="D17" s="26"/>
      <c r="E17" s="26"/>
      <c r="F17" s="26"/>
      <c r="G17" s="26"/>
      <c r="H17" s="26"/>
    </row>
    <row r="18" spans="1:8" x14ac:dyDescent="0.25">
      <c r="A18" s="25" t="s">
        <v>19</v>
      </c>
      <c r="B18" s="26"/>
      <c r="C18" s="26"/>
      <c r="D18" s="26"/>
      <c r="E18" s="26"/>
      <c r="F18" s="26"/>
      <c r="G18" s="26"/>
      <c r="H18" s="27">
        <f t="shared" ref="H18:H26" si="6">(((((B18)+(C18))+(D18))+(E18))+(F18))+(G18)</f>
        <v>0</v>
      </c>
    </row>
    <row r="19" spans="1:8" x14ac:dyDescent="0.25">
      <c r="A19" s="25" t="s">
        <v>27</v>
      </c>
      <c r="B19" s="26"/>
      <c r="C19" s="26"/>
      <c r="D19" s="27">
        <f>57.3</f>
        <v>57.3</v>
      </c>
      <c r="E19" s="26"/>
      <c r="F19" s="27">
        <f>187.97</f>
        <v>187.97</v>
      </c>
      <c r="G19" s="26"/>
      <c r="H19" s="27">
        <f t="shared" si="6"/>
        <v>245.26999999999998</v>
      </c>
    </row>
    <row r="20" spans="1:8" x14ac:dyDescent="0.25">
      <c r="A20" s="25" t="s">
        <v>28</v>
      </c>
      <c r="B20" s="26"/>
      <c r="C20" s="26"/>
      <c r="D20" s="26"/>
      <c r="E20" s="26"/>
      <c r="F20" s="26"/>
      <c r="G20" s="27">
        <f>0</f>
        <v>0</v>
      </c>
      <c r="H20" s="27">
        <f t="shared" si="6"/>
        <v>0</v>
      </c>
    </row>
    <row r="21" spans="1:8" x14ac:dyDescent="0.25">
      <c r="A21" s="25" t="s">
        <v>31</v>
      </c>
      <c r="B21" s="26"/>
      <c r="C21" s="26"/>
      <c r="D21" s="26"/>
      <c r="E21" s="26"/>
      <c r="F21" s="26"/>
      <c r="G21" s="27">
        <f>0</f>
        <v>0</v>
      </c>
      <c r="H21" s="27">
        <f t="shared" si="6"/>
        <v>0</v>
      </c>
    </row>
    <row r="22" spans="1:8" x14ac:dyDescent="0.25">
      <c r="A22" s="25" t="s">
        <v>32</v>
      </c>
      <c r="B22" s="26"/>
      <c r="C22" s="26"/>
      <c r="D22" s="26"/>
      <c r="E22" s="27">
        <f>79.95</f>
        <v>79.95</v>
      </c>
      <c r="F22" s="26"/>
      <c r="G22" s="26"/>
      <c r="H22" s="27">
        <f t="shared" si="6"/>
        <v>79.95</v>
      </c>
    </row>
    <row r="23" spans="1:8" x14ac:dyDescent="0.25">
      <c r="A23" s="25" t="s">
        <v>33</v>
      </c>
      <c r="B23" s="27">
        <f>0</f>
        <v>0</v>
      </c>
      <c r="C23" s="27">
        <f>0</f>
        <v>0</v>
      </c>
      <c r="D23" s="27">
        <f>0</f>
        <v>0</v>
      </c>
      <c r="E23" s="27">
        <f>0</f>
        <v>0</v>
      </c>
      <c r="F23" s="27">
        <f>0</f>
        <v>0</v>
      </c>
      <c r="G23" s="27">
        <f>0</f>
        <v>0</v>
      </c>
      <c r="H23" s="27">
        <f t="shared" si="6"/>
        <v>0</v>
      </c>
    </row>
    <row r="24" spans="1:8" x14ac:dyDescent="0.25">
      <c r="A24" s="25" t="s">
        <v>34</v>
      </c>
      <c r="B24" s="28">
        <f t="shared" ref="B24:G24" si="7">(((((B18)+(B19))+(B20))+(B21))+(B22))+(B23)</f>
        <v>0</v>
      </c>
      <c r="C24" s="28">
        <f t="shared" si="7"/>
        <v>0</v>
      </c>
      <c r="D24" s="28">
        <f t="shared" si="7"/>
        <v>57.3</v>
      </c>
      <c r="E24" s="28">
        <f t="shared" si="7"/>
        <v>79.95</v>
      </c>
      <c r="F24" s="28">
        <f t="shared" si="7"/>
        <v>187.97</v>
      </c>
      <c r="G24" s="28">
        <f t="shared" si="7"/>
        <v>0</v>
      </c>
      <c r="H24" s="28">
        <f t="shared" si="6"/>
        <v>325.22000000000003</v>
      </c>
    </row>
    <row r="25" spans="1:8" x14ac:dyDescent="0.25">
      <c r="A25" s="25" t="s">
        <v>35</v>
      </c>
      <c r="B25" s="28">
        <f t="shared" ref="B25:G25" si="8">B24</f>
        <v>0</v>
      </c>
      <c r="C25" s="28">
        <f t="shared" si="8"/>
        <v>0</v>
      </c>
      <c r="D25" s="28">
        <f t="shared" si="8"/>
        <v>57.3</v>
      </c>
      <c r="E25" s="28">
        <f t="shared" si="8"/>
        <v>79.95</v>
      </c>
      <c r="F25" s="28">
        <f t="shared" si="8"/>
        <v>187.97</v>
      </c>
      <c r="G25" s="28">
        <f t="shared" si="8"/>
        <v>0</v>
      </c>
      <c r="H25" s="28">
        <f t="shared" si="6"/>
        <v>325.22000000000003</v>
      </c>
    </row>
    <row r="26" spans="1:8" x14ac:dyDescent="0.25">
      <c r="A26" s="25" t="s">
        <v>36</v>
      </c>
      <c r="B26" s="28">
        <f t="shared" ref="B26:G26" si="9">(((B16)-(B25))+(0))-(0)</f>
        <v>0</v>
      </c>
      <c r="C26" s="28">
        <f t="shared" si="9"/>
        <v>0</v>
      </c>
      <c r="D26" s="28">
        <f t="shared" si="9"/>
        <v>-57.3</v>
      </c>
      <c r="E26" s="28">
        <f t="shared" si="9"/>
        <v>-79.95</v>
      </c>
      <c r="F26" s="28">
        <f t="shared" si="9"/>
        <v>-187.97</v>
      </c>
      <c r="G26" s="28">
        <f t="shared" si="9"/>
        <v>0</v>
      </c>
      <c r="H26" s="28">
        <f t="shared" si="6"/>
        <v>-325.22000000000003</v>
      </c>
    </row>
    <row r="27" spans="1:8" x14ac:dyDescent="0.25">
      <c r="A27" s="25"/>
      <c r="B27" s="26"/>
      <c r="C27" s="26"/>
      <c r="D27" s="26"/>
      <c r="E27" s="26"/>
      <c r="F27" s="26"/>
      <c r="G27" s="26"/>
      <c r="H27" s="26"/>
    </row>
    <row r="30" spans="1:8" x14ac:dyDescent="0.25">
      <c r="A30" s="29" t="s">
        <v>79</v>
      </c>
      <c r="B30" s="2"/>
      <c r="C30" s="2"/>
      <c r="D30" s="2"/>
      <c r="E30" s="2"/>
      <c r="F30" s="2"/>
      <c r="G30" s="2"/>
      <c r="H30" s="2"/>
    </row>
  </sheetData>
  <mergeCells count="4">
    <mergeCell ref="A1:H1"/>
    <mergeCell ref="A2:H2"/>
    <mergeCell ref="A3:H3"/>
    <mergeCell ref="A30:H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10001-30-009-07 W4</vt:lpstr>
      <vt:lpstr>10202-30-009-07 W4</vt:lpstr>
      <vt:lpstr>100 07-30-009-07 W4</vt:lpstr>
      <vt:lpstr>10005-30-009-07</vt:lpstr>
      <vt:lpstr>Facility</vt:lpstr>
      <vt:lpstr>100 12-31-009-07 W4</vt:lpstr>
      <vt:lpstr>102 14-31-009-07</vt:lpstr>
      <vt:lpstr>102 08-35-009-08</vt:lpstr>
      <vt:lpstr>100 05-36-009-08 W4</vt:lpstr>
      <vt:lpstr>102 06-36-009-08</vt:lpstr>
      <vt:lpstr>102 08-36-009-08</vt:lpstr>
      <vt:lpstr>100 10-36-009-08 W4</vt:lpstr>
      <vt:lpstr>100 12-36-009-08</vt:lpstr>
      <vt:lpstr>01-01-010-08 </vt:lpstr>
      <vt:lpstr>103 15-03-010-10</vt:lpstr>
      <vt:lpstr>100 10-07-012-14</vt:lpstr>
      <vt:lpstr>102 12-36-009-08</vt:lpstr>
      <vt:lpstr>100 &amp; 102 09-30-012-14 </vt:lpstr>
      <vt:lpstr>100 11-08-012-14</vt:lpstr>
      <vt:lpstr>100 06-23-017-22</vt:lpstr>
      <vt:lpstr>03-17-018-20</vt:lpstr>
      <vt:lpstr>06-18-018-20</vt:lpstr>
      <vt:lpstr>16-18-018-20</vt:lpstr>
      <vt:lpstr>12-22-018-20</vt:lpstr>
      <vt:lpstr>100 12-20-019-18</vt:lpstr>
      <vt:lpstr>OPEX Summary</vt:lpstr>
      <vt:lpstr>103 14-31-009-07</vt:lpstr>
      <vt:lpstr>102 12-31-009-07 W4</vt:lpstr>
      <vt:lpstr>100 12-30-009-07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cp:lastPrinted>2019-09-05T18:43:05Z</cp:lastPrinted>
  <dcterms:created xsi:type="dcterms:W3CDTF">2019-09-05T17:57:28Z</dcterms:created>
  <dcterms:modified xsi:type="dcterms:W3CDTF">2019-09-05T21:53:45Z</dcterms:modified>
</cp:coreProperties>
</file>