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320" yWindow="120" windowWidth="20730" windowHeight="11760" firstSheet="1" activeTab="1"/>
  </bookViews>
  <sheets>
    <sheet name="15% 9-30" sheetId="1" state="hidden" r:id="rId1"/>
    <sheet name="100% 9-30" sheetId="4" r:id="rId2"/>
    <sheet name="15% 10-7" sheetId="3" state="hidden" r:id="rId3"/>
    <sheet name="100% 10-7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2" i="1" l="1"/>
  <c r="O61" i="1"/>
  <c r="O60" i="1"/>
  <c r="O59" i="1"/>
  <c r="O58" i="1"/>
  <c r="O57" i="1"/>
  <c r="O56" i="1"/>
  <c r="O55" i="1"/>
  <c r="O54" i="1"/>
  <c r="O51" i="1"/>
  <c r="O49" i="1"/>
  <c r="O47" i="1"/>
  <c r="H58" i="1"/>
  <c r="G58" i="1"/>
  <c r="F58" i="1"/>
  <c r="E58" i="1"/>
  <c r="H53" i="1"/>
  <c r="H62" i="1" s="1"/>
  <c r="G53" i="1"/>
  <c r="G62" i="1" s="1"/>
  <c r="F53" i="1"/>
  <c r="F61" i="1" s="1"/>
  <c r="E53" i="1"/>
  <c r="E61" i="1" s="1"/>
  <c r="H52" i="1"/>
  <c r="H60" i="1" s="1"/>
  <c r="G52" i="1"/>
  <c r="G60" i="1" s="1"/>
  <c r="F52" i="1"/>
  <c r="F55" i="1" s="1"/>
  <c r="E52" i="1"/>
  <c r="E60" i="1" s="1"/>
  <c r="H51" i="1"/>
  <c r="H54" i="1" s="1"/>
  <c r="G51" i="1"/>
  <c r="G54" i="1" s="1"/>
  <c r="F51" i="1"/>
  <c r="F54" i="1" s="1"/>
  <c r="E51" i="1"/>
  <c r="E54" i="1" s="1"/>
  <c r="H45" i="1"/>
  <c r="G45" i="1"/>
  <c r="F45" i="1"/>
  <c r="E45" i="1"/>
  <c r="O60" i="5"/>
  <c r="O59" i="5"/>
  <c r="O58" i="5"/>
  <c r="O57" i="5"/>
  <c r="O56" i="5"/>
  <c r="O55" i="5"/>
  <c r="O54" i="5"/>
  <c r="O53" i="5"/>
  <c r="O52" i="5"/>
  <c r="O47" i="5"/>
  <c r="O45" i="5"/>
  <c r="H58" i="5"/>
  <c r="H56" i="5"/>
  <c r="O53" i="3"/>
  <c r="H53" i="5"/>
  <c r="H43" i="5"/>
  <c r="G43" i="5"/>
  <c r="F43" i="5"/>
  <c r="E43" i="5"/>
  <c r="D43" i="5"/>
  <c r="O60" i="3"/>
  <c r="O59" i="3"/>
  <c r="G38" i="3"/>
  <c r="F38" i="3"/>
  <c r="O58" i="3"/>
  <c r="O57" i="3"/>
  <c r="O56" i="3"/>
  <c r="O52" i="3"/>
  <c r="O47" i="3"/>
  <c r="O45" i="3"/>
  <c r="H58" i="3"/>
  <c r="H56" i="3"/>
  <c r="O60" i="4"/>
  <c r="O59" i="4"/>
  <c r="O58" i="4"/>
  <c r="O55" i="4"/>
  <c r="O54" i="4"/>
  <c r="O49" i="4"/>
  <c r="O47" i="4"/>
  <c r="H38" i="1"/>
  <c r="L42" i="4"/>
  <c r="K42" i="4"/>
  <c r="G42" i="4"/>
  <c r="D42" i="4"/>
  <c r="N41" i="4"/>
  <c r="N42" i="4" s="1"/>
  <c r="L41" i="4"/>
  <c r="K41" i="4"/>
  <c r="J41" i="4"/>
  <c r="J42" i="4" s="1"/>
  <c r="G41" i="4"/>
  <c r="F41" i="4"/>
  <c r="F42" i="4" s="1"/>
  <c r="D41" i="4"/>
  <c r="N40" i="4"/>
  <c r="M40" i="4"/>
  <c r="M41" i="4" s="1"/>
  <c r="M42" i="4" s="1"/>
  <c r="L40" i="4"/>
  <c r="K40" i="4"/>
  <c r="J40" i="4"/>
  <c r="I40" i="4"/>
  <c r="I41" i="4" s="1"/>
  <c r="I42" i="4" s="1"/>
  <c r="G40" i="4"/>
  <c r="F40" i="4"/>
  <c r="E40" i="4"/>
  <c r="E41" i="4" s="1"/>
  <c r="E42" i="4" s="1"/>
  <c r="D40" i="4"/>
  <c r="C40" i="4"/>
  <c r="O39" i="4"/>
  <c r="H39" i="4"/>
  <c r="G39" i="4"/>
  <c r="F39" i="4"/>
  <c r="E39" i="4"/>
  <c r="D39" i="4"/>
  <c r="C39" i="4"/>
  <c r="K42" i="1"/>
  <c r="G42" i="1"/>
  <c r="N41" i="1"/>
  <c r="N42" i="1" s="1"/>
  <c r="K41" i="1"/>
  <c r="J41" i="1"/>
  <c r="J42" i="1" s="1"/>
  <c r="G41" i="1"/>
  <c r="F41" i="1"/>
  <c r="F42" i="1" s="1"/>
  <c r="N40" i="1"/>
  <c r="M40" i="1"/>
  <c r="M41" i="1" s="1"/>
  <c r="M42" i="1" s="1"/>
  <c r="L40" i="1"/>
  <c r="L41" i="1" s="1"/>
  <c r="L42" i="1" s="1"/>
  <c r="K40" i="1"/>
  <c r="J40" i="1"/>
  <c r="I40" i="1"/>
  <c r="I41" i="1" s="1"/>
  <c r="I42" i="1" s="1"/>
  <c r="H40" i="1"/>
  <c r="H41" i="1" s="1"/>
  <c r="G40" i="1"/>
  <c r="F40" i="1"/>
  <c r="E40" i="1"/>
  <c r="E41" i="1" s="1"/>
  <c r="E42" i="1" s="1"/>
  <c r="D40" i="1"/>
  <c r="D41" i="1" s="1"/>
  <c r="D42" i="1" s="1"/>
  <c r="C40" i="1"/>
  <c r="G56" i="3"/>
  <c r="F56" i="3"/>
  <c r="E56" i="3"/>
  <c r="D56" i="3"/>
  <c r="D51" i="3"/>
  <c r="H43" i="3"/>
  <c r="G43" i="3"/>
  <c r="F43" i="3"/>
  <c r="E43" i="3"/>
  <c r="D43" i="3"/>
  <c r="H45" i="3"/>
  <c r="G45" i="3"/>
  <c r="F45" i="3"/>
  <c r="E45" i="3"/>
  <c r="D45" i="3"/>
  <c r="C45" i="3"/>
  <c r="G56" i="5"/>
  <c r="D52" i="5"/>
  <c r="D51" i="5"/>
  <c r="G49" i="5"/>
  <c r="G52" i="5" s="1"/>
  <c r="D49" i="5"/>
  <c r="H37" i="5"/>
  <c r="G37" i="5"/>
  <c r="O37" i="5" s="1"/>
  <c r="F37" i="5"/>
  <c r="E37" i="5"/>
  <c r="D37" i="5"/>
  <c r="H36" i="5"/>
  <c r="G36" i="5"/>
  <c r="F36" i="5"/>
  <c r="E36" i="5"/>
  <c r="D36" i="5"/>
  <c r="H35" i="5"/>
  <c r="G35" i="5"/>
  <c r="F35" i="5"/>
  <c r="O35" i="5" s="1"/>
  <c r="E35" i="5"/>
  <c r="D35" i="5"/>
  <c r="H34" i="5"/>
  <c r="G34" i="5"/>
  <c r="F34" i="5"/>
  <c r="E34" i="5"/>
  <c r="D34" i="5"/>
  <c r="H33" i="5"/>
  <c r="G33" i="5"/>
  <c r="F33" i="5"/>
  <c r="E33" i="5"/>
  <c r="D33" i="5"/>
  <c r="H32" i="5"/>
  <c r="G32" i="5"/>
  <c r="F32" i="5"/>
  <c r="E32" i="5"/>
  <c r="O32" i="5" s="1"/>
  <c r="D32" i="5"/>
  <c r="H31" i="5"/>
  <c r="G31" i="5"/>
  <c r="F31" i="5"/>
  <c r="O31" i="5" s="1"/>
  <c r="E31" i="5"/>
  <c r="D31" i="5"/>
  <c r="H30" i="5"/>
  <c r="G30" i="5"/>
  <c r="O30" i="5" s="1"/>
  <c r="F30" i="5"/>
  <c r="E30" i="5"/>
  <c r="D30" i="5"/>
  <c r="H29" i="5"/>
  <c r="G29" i="5"/>
  <c r="F29" i="5"/>
  <c r="E29" i="5"/>
  <c r="D29" i="5"/>
  <c r="H28" i="5"/>
  <c r="D28" i="5"/>
  <c r="H27" i="5"/>
  <c r="G27" i="5"/>
  <c r="F27" i="5"/>
  <c r="E27" i="5"/>
  <c r="E28" i="5" s="1"/>
  <c r="D27" i="5"/>
  <c r="H26" i="5"/>
  <c r="G26" i="5"/>
  <c r="G28" i="5" s="1"/>
  <c r="F26" i="5"/>
  <c r="F28" i="5" s="1"/>
  <c r="E26" i="5"/>
  <c r="D26" i="5"/>
  <c r="H25" i="5"/>
  <c r="G25" i="5"/>
  <c r="F25" i="5"/>
  <c r="E25" i="5"/>
  <c r="D25" i="5"/>
  <c r="H24" i="5"/>
  <c r="G24" i="5"/>
  <c r="F24" i="5"/>
  <c r="E24" i="5"/>
  <c r="D24" i="5"/>
  <c r="H23" i="5"/>
  <c r="G23" i="5"/>
  <c r="F23" i="5"/>
  <c r="O23" i="5" s="1"/>
  <c r="E23" i="5"/>
  <c r="D23" i="5"/>
  <c r="H22" i="5"/>
  <c r="G22" i="5"/>
  <c r="F22" i="5"/>
  <c r="E22" i="5"/>
  <c r="D22" i="5"/>
  <c r="H21" i="5"/>
  <c r="G21" i="5"/>
  <c r="F21" i="5"/>
  <c r="E21" i="5"/>
  <c r="D21" i="5"/>
  <c r="H20" i="5"/>
  <c r="G20" i="5"/>
  <c r="F20" i="5"/>
  <c r="E20" i="5"/>
  <c r="D20" i="5"/>
  <c r="D38" i="5" s="1"/>
  <c r="D39" i="5" s="1"/>
  <c r="G15" i="5"/>
  <c r="G50" i="5" s="1"/>
  <c r="G53" i="5" s="1"/>
  <c r="D15" i="5"/>
  <c r="D50" i="5" s="1"/>
  <c r="H14" i="5"/>
  <c r="H15" i="5" s="1"/>
  <c r="H50" i="5" s="1"/>
  <c r="G14" i="5"/>
  <c r="F14" i="5"/>
  <c r="F15" i="5" s="1"/>
  <c r="F50" i="5" s="1"/>
  <c r="E14" i="5"/>
  <c r="E15" i="5" s="1"/>
  <c r="E50" i="5" s="1"/>
  <c r="D14" i="5"/>
  <c r="D56" i="5" s="1"/>
  <c r="G11" i="5"/>
  <c r="F11" i="5"/>
  <c r="H10" i="5"/>
  <c r="H12" i="5" s="1"/>
  <c r="G10" i="5"/>
  <c r="G12" i="5" s="1"/>
  <c r="G16" i="5" s="1"/>
  <c r="G17" i="5" s="1"/>
  <c r="F10" i="5"/>
  <c r="F12" i="5" s="1"/>
  <c r="E10" i="5"/>
  <c r="E11" i="5" s="1"/>
  <c r="D10" i="5"/>
  <c r="C37" i="5"/>
  <c r="C36" i="5"/>
  <c r="C35" i="5"/>
  <c r="C34" i="5"/>
  <c r="C33" i="5"/>
  <c r="C32" i="5"/>
  <c r="C31" i="5"/>
  <c r="C30" i="5"/>
  <c r="C29" i="5"/>
  <c r="C27" i="5"/>
  <c r="C26" i="5"/>
  <c r="C25" i="5"/>
  <c r="C24" i="5"/>
  <c r="C23" i="5"/>
  <c r="C22" i="5"/>
  <c r="C21" i="5"/>
  <c r="C20" i="5"/>
  <c r="C14" i="5"/>
  <c r="C56" i="5" s="1"/>
  <c r="C10" i="5"/>
  <c r="H47" i="5"/>
  <c r="G47" i="5"/>
  <c r="F47" i="5"/>
  <c r="E47" i="5"/>
  <c r="D47" i="5"/>
  <c r="C47" i="5"/>
  <c r="C43" i="5"/>
  <c r="N38" i="5"/>
  <c r="N39" i="5" s="1"/>
  <c r="M38" i="5"/>
  <c r="M39" i="5" s="1"/>
  <c r="I38" i="5"/>
  <c r="I39" i="5" s="1"/>
  <c r="O33" i="5"/>
  <c r="M28" i="5"/>
  <c r="L28" i="5"/>
  <c r="L38" i="5" s="1"/>
  <c r="L39" i="5" s="1"/>
  <c r="K28" i="5"/>
  <c r="K38" i="5" s="1"/>
  <c r="K39" i="5" s="1"/>
  <c r="J28" i="5"/>
  <c r="J38" i="5" s="1"/>
  <c r="J39" i="5" s="1"/>
  <c r="I28" i="5"/>
  <c r="C28" i="5"/>
  <c r="C38" i="5" s="1"/>
  <c r="O26" i="5"/>
  <c r="K16" i="5"/>
  <c r="K17" i="5" s="1"/>
  <c r="K40" i="5" s="1"/>
  <c r="N15" i="5"/>
  <c r="M15" i="5"/>
  <c r="M16" i="5" s="1"/>
  <c r="M17" i="5" s="1"/>
  <c r="L15" i="5"/>
  <c r="K15" i="5"/>
  <c r="J15" i="5"/>
  <c r="I15" i="5"/>
  <c r="I16" i="5" s="1"/>
  <c r="I17" i="5" s="1"/>
  <c r="N12" i="5"/>
  <c r="N16" i="5" s="1"/>
  <c r="N17" i="5" s="1"/>
  <c r="N40" i="5" s="1"/>
  <c r="M12" i="5"/>
  <c r="L12" i="5"/>
  <c r="L16" i="5" s="1"/>
  <c r="L17" i="5" s="1"/>
  <c r="L40" i="5" s="1"/>
  <c r="K12" i="5"/>
  <c r="J12" i="5"/>
  <c r="J16" i="5" s="1"/>
  <c r="J17" i="5" s="1"/>
  <c r="I12" i="5"/>
  <c r="N11" i="5"/>
  <c r="M11" i="5"/>
  <c r="L11" i="5"/>
  <c r="K11" i="5"/>
  <c r="J11" i="5"/>
  <c r="I11" i="5"/>
  <c r="C11" i="5"/>
  <c r="H38" i="4"/>
  <c r="G38" i="4"/>
  <c r="F38" i="4"/>
  <c r="E38" i="4"/>
  <c r="D38" i="4"/>
  <c r="H37" i="4"/>
  <c r="G37" i="4"/>
  <c r="F37" i="4"/>
  <c r="E37" i="4"/>
  <c r="D37" i="4"/>
  <c r="H36" i="4"/>
  <c r="G36" i="4"/>
  <c r="F36" i="4"/>
  <c r="E36" i="4"/>
  <c r="D36" i="4"/>
  <c r="H35" i="4"/>
  <c r="G35" i="4"/>
  <c r="F35" i="4"/>
  <c r="O35" i="4" s="1"/>
  <c r="E35" i="4"/>
  <c r="D35" i="4"/>
  <c r="H34" i="4"/>
  <c r="G34" i="4"/>
  <c r="F34" i="4"/>
  <c r="E34" i="4"/>
  <c r="D34" i="4"/>
  <c r="H33" i="4"/>
  <c r="G33" i="4"/>
  <c r="F33" i="4"/>
  <c r="E33" i="4"/>
  <c r="D33" i="4"/>
  <c r="H32" i="4"/>
  <c r="G32" i="4"/>
  <c r="F32" i="4"/>
  <c r="E32" i="4"/>
  <c r="D32" i="4"/>
  <c r="H31" i="4"/>
  <c r="G31" i="4"/>
  <c r="F31" i="4"/>
  <c r="E31" i="4"/>
  <c r="D31" i="4"/>
  <c r="H30" i="4"/>
  <c r="G30" i="4"/>
  <c r="F30" i="4"/>
  <c r="E30" i="4"/>
  <c r="D30" i="4"/>
  <c r="H29" i="4"/>
  <c r="G29" i="4"/>
  <c r="F29" i="4"/>
  <c r="E29" i="4"/>
  <c r="D29" i="4"/>
  <c r="H27" i="4"/>
  <c r="G27" i="4"/>
  <c r="F27" i="4"/>
  <c r="E27" i="4"/>
  <c r="D27" i="4"/>
  <c r="H26" i="4"/>
  <c r="G26" i="4"/>
  <c r="F26" i="4"/>
  <c r="F28" i="4" s="1"/>
  <c r="E26" i="4"/>
  <c r="D26" i="4"/>
  <c r="H25" i="4"/>
  <c r="G25" i="4"/>
  <c r="F25" i="4"/>
  <c r="E25" i="4"/>
  <c r="D25" i="4"/>
  <c r="H24" i="4"/>
  <c r="G24" i="4"/>
  <c r="F24" i="4"/>
  <c r="E24" i="4"/>
  <c r="D24" i="4"/>
  <c r="H23" i="4"/>
  <c r="G23" i="4"/>
  <c r="F23" i="4"/>
  <c r="E23" i="4"/>
  <c r="D23" i="4"/>
  <c r="H22" i="4"/>
  <c r="G22" i="4"/>
  <c r="F22" i="4"/>
  <c r="E22" i="4"/>
  <c r="D22" i="4"/>
  <c r="H21" i="4"/>
  <c r="G21" i="4"/>
  <c r="F21" i="4"/>
  <c r="E21" i="4"/>
  <c r="D21" i="4"/>
  <c r="H20" i="4"/>
  <c r="G20" i="4"/>
  <c r="F20" i="4"/>
  <c r="E20" i="4"/>
  <c r="D20" i="4"/>
  <c r="H14" i="4"/>
  <c r="H52" i="4" s="1"/>
  <c r="G14" i="4"/>
  <c r="G52" i="4" s="1"/>
  <c r="F14" i="4"/>
  <c r="F52" i="4" s="1"/>
  <c r="E14" i="4"/>
  <c r="D14" i="4"/>
  <c r="D15" i="4" s="1"/>
  <c r="H10" i="4"/>
  <c r="G10" i="4"/>
  <c r="F10" i="4"/>
  <c r="E10" i="4"/>
  <c r="D10" i="4"/>
  <c r="H49" i="4"/>
  <c r="G49" i="4"/>
  <c r="G45" i="4" s="1"/>
  <c r="F49" i="4"/>
  <c r="E49" i="4"/>
  <c r="D49" i="4"/>
  <c r="C49" i="4"/>
  <c r="H47" i="1"/>
  <c r="G47" i="1"/>
  <c r="F47" i="1"/>
  <c r="E47" i="1"/>
  <c r="D47" i="1"/>
  <c r="C47" i="1"/>
  <c r="E49" i="1"/>
  <c r="E47" i="3"/>
  <c r="F47" i="3"/>
  <c r="F49" i="1"/>
  <c r="G49" i="1"/>
  <c r="G47" i="3"/>
  <c r="H47" i="3"/>
  <c r="H49" i="1"/>
  <c r="C38" i="4"/>
  <c r="C37" i="4"/>
  <c r="C36" i="4"/>
  <c r="C35" i="4"/>
  <c r="C34" i="4"/>
  <c r="C33" i="4"/>
  <c r="C32" i="4"/>
  <c r="C31" i="4"/>
  <c r="C30" i="4"/>
  <c r="C29" i="4"/>
  <c r="C27" i="4"/>
  <c r="C26" i="4"/>
  <c r="C25" i="4"/>
  <c r="C24" i="4"/>
  <c r="C23" i="4"/>
  <c r="C22" i="4"/>
  <c r="C21" i="4"/>
  <c r="C20" i="4"/>
  <c r="C14" i="4"/>
  <c r="C52" i="4" s="1"/>
  <c r="C10" i="4"/>
  <c r="N28" i="4"/>
  <c r="M28" i="4"/>
  <c r="L28" i="4"/>
  <c r="K28" i="4"/>
  <c r="J28" i="4"/>
  <c r="I28" i="4"/>
  <c r="C28" i="4"/>
  <c r="N15" i="4"/>
  <c r="M15" i="4"/>
  <c r="L15" i="4"/>
  <c r="K15" i="4"/>
  <c r="J15" i="4"/>
  <c r="I15" i="4"/>
  <c r="N12" i="4"/>
  <c r="N16" i="4" s="1"/>
  <c r="N17" i="4" s="1"/>
  <c r="M12" i="4"/>
  <c r="L12" i="4"/>
  <c r="K12" i="4"/>
  <c r="K16" i="4" s="1"/>
  <c r="K17" i="4" s="1"/>
  <c r="J12" i="4"/>
  <c r="J16" i="4" s="1"/>
  <c r="J17" i="4" s="1"/>
  <c r="I12" i="4"/>
  <c r="H12" i="4"/>
  <c r="H51" i="4" s="1"/>
  <c r="G12" i="4"/>
  <c r="F12" i="4"/>
  <c r="N11" i="4"/>
  <c r="M11" i="4"/>
  <c r="L11" i="4"/>
  <c r="K11" i="4"/>
  <c r="J11" i="4"/>
  <c r="I11" i="4"/>
  <c r="G11" i="4"/>
  <c r="F11" i="4"/>
  <c r="H57" i="1" l="1"/>
  <c r="E62" i="1"/>
  <c r="F60" i="1"/>
  <c r="F62" i="1"/>
  <c r="G55" i="1"/>
  <c r="G57" i="1" s="1"/>
  <c r="G56" i="1"/>
  <c r="G61" i="1"/>
  <c r="E55" i="1"/>
  <c r="E57" i="1" s="1"/>
  <c r="E56" i="1"/>
  <c r="F56" i="1"/>
  <c r="F57" i="1" s="1"/>
  <c r="H55" i="1"/>
  <c r="H56" i="1"/>
  <c r="H61" i="1"/>
  <c r="O43" i="5"/>
  <c r="O34" i="5"/>
  <c r="O29" i="5"/>
  <c r="H38" i="5"/>
  <c r="O21" i="5"/>
  <c r="O27" i="5"/>
  <c r="E38" i="5"/>
  <c r="E39" i="5" s="1"/>
  <c r="O22" i="5"/>
  <c r="O36" i="5"/>
  <c r="H16" i="5"/>
  <c r="H17" i="5" s="1"/>
  <c r="D58" i="5"/>
  <c r="D53" i="5"/>
  <c r="D60" i="5"/>
  <c r="O14" i="5"/>
  <c r="C15" i="5"/>
  <c r="C50" i="5" s="1"/>
  <c r="H49" i="5"/>
  <c r="F16" i="5"/>
  <c r="F17" i="5" s="1"/>
  <c r="F49" i="5"/>
  <c r="F58" i="5" s="1"/>
  <c r="F56" i="5"/>
  <c r="E12" i="5"/>
  <c r="E49" i="5" s="1"/>
  <c r="E52" i="5" s="1"/>
  <c r="E58" i="5"/>
  <c r="E56" i="5"/>
  <c r="H40" i="4"/>
  <c r="H41" i="4" s="1"/>
  <c r="H15" i="4"/>
  <c r="O29" i="4"/>
  <c r="O30" i="4"/>
  <c r="O33" i="4"/>
  <c r="O34" i="4"/>
  <c r="O37" i="4"/>
  <c r="O38" i="4"/>
  <c r="O36" i="4"/>
  <c r="D45" i="4"/>
  <c r="H58" i="4"/>
  <c r="O21" i="4"/>
  <c r="D53" i="4"/>
  <c r="D56" i="4" s="1"/>
  <c r="O24" i="4"/>
  <c r="D28" i="4"/>
  <c r="H28" i="4"/>
  <c r="O31" i="4"/>
  <c r="E28" i="4"/>
  <c r="O27" i="4"/>
  <c r="O32" i="4"/>
  <c r="D12" i="4"/>
  <c r="D51" i="4" s="1"/>
  <c r="D60" i="4" s="1"/>
  <c r="H45" i="4"/>
  <c r="H55" i="4" s="1"/>
  <c r="H11" i="4"/>
  <c r="D52" i="4"/>
  <c r="D11" i="4"/>
  <c r="C15" i="4"/>
  <c r="O26" i="4"/>
  <c r="C45" i="4"/>
  <c r="O23" i="4"/>
  <c r="G58" i="4"/>
  <c r="F53" i="4"/>
  <c r="F56" i="4" s="1"/>
  <c r="F58" i="4"/>
  <c r="O14" i="4"/>
  <c r="F45" i="4"/>
  <c r="F55" i="4" s="1"/>
  <c r="E53" i="4"/>
  <c r="D58" i="4"/>
  <c r="D54" i="3"/>
  <c r="G58" i="5"/>
  <c r="E53" i="5"/>
  <c r="D54" i="5"/>
  <c r="D55" i="5" s="1"/>
  <c r="D59" i="5"/>
  <c r="F53" i="5"/>
  <c r="F38" i="5"/>
  <c r="O10" i="5"/>
  <c r="O15" i="5"/>
  <c r="D11" i="5"/>
  <c r="O11" i="5" s="1"/>
  <c r="H11" i="5"/>
  <c r="G38" i="5"/>
  <c r="D12" i="5"/>
  <c r="O20" i="5"/>
  <c r="O24" i="5"/>
  <c r="O28" i="5"/>
  <c r="C39" i="5"/>
  <c r="C51" i="5"/>
  <c r="J40" i="5"/>
  <c r="I40" i="5"/>
  <c r="M40" i="5"/>
  <c r="C53" i="5"/>
  <c r="O50" i="5"/>
  <c r="O22" i="4"/>
  <c r="G28" i="4"/>
  <c r="O20" i="4"/>
  <c r="E15" i="4"/>
  <c r="E52" i="4"/>
  <c r="F15" i="4"/>
  <c r="F16" i="4" s="1"/>
  <c r="F17" i="4" s="1"/>
  <c r="G55" i="4"/>
  <c r="G15" i="4"/>
  <c r="G16" i="4" s="1"/>
  <c r="G17" i="4" s="1"/>
  <c r="E58" i="4"/>
  <c r="D54" i="4"/>
  <c r="G51" i="4"/>
  <c r="G54" i="4" s="1"/>
  <c r="E12" i="4"/>
  <c r="E51" i="4" s="1"/>
  <c r="E11" i="4"/>
  <c r="E45" i="4"/>
  <c r="H60" i="4"/>
  <c r="F51" i="4"/>
  <c r="O52" i="4"/>
  <c r="D55" i="4"/>
  <c r="I16" i="4"/>
  <c r="I17" i="4" s="1"/>
  <c r="M16" i="4"/>
  <c r="M17" i="4" s="1"/>
  <c r="H16" i="4"/>
  <c r="H17" i="4" s="1"/>
  <c r="H42" i="4" s="1"/>
  <c r="L16" i="4"/>
  <c r="L17" i="4" s="1"/>
  <c r="C58" i="4"/>
  <c r="O10" i="4"/>
  <c r="C11" i="4"/>
  <c r="C55" i="4"/>
  <c r="D58" i="1"/>
  <c r="D52" i="1"/>
  <c r="D55" i="1" s="1"/>
  <c r="D45" i="1"/>
  <c r="D49" i="1"/>
  <c r="D47" i="3"/>
  <c r="H39" i="5" l="1"/>
  <c r="H40" i="5" s="1"/>
  <c r="H51" i="5"/>
  <c r="G39" i="5"/>
  <c r="G40" i="5" s="1"/>
  <c r="G51" i="5"/>
  <c r="F39" i="5"/>
  <c r="F40" i="5" s="1"/>
  <c r="F51" i="5"/>
  <c r="O38" i="5"/>
  <c r="E51" i="5"/>
  <c r="E60" i="5" s="1"/>
  <c r="F52" i="5"/>
  <c r="E16" i="5"/>
  <c r="E17" i="5" s="1"/>
  <c r="E40" i="5" s="1"/>
  <c r="H53" i="4"/>
  <c r="H56" i="4" s="1"/>
  <c r="E55" i="4"/>
  <c r="D61" i="4"/>
  <c r="G60" i="4"/>
  <c r="D57" i="4"/>
  <c r="H54" i="4"/>
  <c r="H57" i="4" s="1"/>
  <c r="E60" i="4"/>
  <c r="D16" i="4"/>
  <c r="D17" i="4" s="1"/>
  <c r="D62" i="4"/>
  <c r="O15" i="4"/>
  <c r="O11" i="4"/>
  <c r="O45" i="4"/>
  <c r="D16" i="5"/>
  <c r="D17" i="5" s="1"/>
  <c r="D40" i="5" s="1"/>
  <c r="O8" i="5"/>
  <c r="C12" i="5"/>
  <c r="C54" i="5"/>
  <c r="G53" i="4"/>
  <c r="G62" i="4" s="1"/>
  <c r="H61" i="4"/>
  <c r="O28" i="4"/>
  <c r="H62" i="4"/>
  <c r="E16" i="4"/>
  <c r="E17" i="4" s="1"/>
  <c r="E54" i="4"/>
  <c r="E61" i="4"/>
  <c r="O61" i="4" s="1"/>
  <c r="E56" i="4"/>
  <c r="O56" i="4" s="1"/>
  <c r="E62" i="4"/>
  <c r="O62" i="4" s="1"/>
  <c r="F61" i="4"/>
  <c r="F54" i="4"/>
  <c r="F57" i="4" s="1"/>
  <c r="F62" i="4"/>
  <c r="F60" i="4"/>
  <c r="C53" i="4"/>
  <c r="C41" i="4"/>
  <c r="O40" i="4"/>
  <c r="J11" i="3"/>
  <c r="C56" i="3"/>
  <c r="C43" i="3"/>
  <c r="O20" i="3"/>
  <c r="C47" i="3"/>
  <c r="C10" i="1"/>
  <c r="C49" i="1"/>
  <c r="O35" i="1"/>
  <c r="H55" i="5" l="1"/>
  <c r="G54" i="5"/>
  <c r="G55" i="5" s="1"/>
  <c r="G60" i="5"/>
  <c r="G59" i="5"/>
  <c r="O39" i="5"/>
  <c r="F54" i="5"/>
  <c r="F55" i="5" s="1"/>
  <c r="F60" i="5"/>
  <c r="F59" i="5"/>
  <c r="O51" i="5"/>
  <c r="E54" i="5"/>
  <c r="E55" i="5" s="1"/>
  <c r="E59" i="5"/>
  <c r="O41" i="4"/>
  <c r="E57" i="4"/>
  <c r="O57" i="4" s="1"/>
  <c r="C49" i="5"/>
  <c r="O12" i="5"/>
  <c r="C16" i="5"/>
  <c r="G56" i="4"/>
  <c r="G57" i="4" s="1"/>
  <c r="G61" i="4"/>
  <c r="O8" i="4"/>
  <c r="C12" i="4"/>
  <c r="C56" i="4"/>
  <c r="O53" i="4"/>
  <c r="C17" i="5" l="1"/>
  <c r="O16" i="5"/>
  <c r="C52" i="5"/>
  <c r="O49" i="5"/>
  <c r="C58" i="5"/>
  <c r="C59" i="5"/>
  <c r="C60" i="5"/>
  <c r="C51" i="4"/>
  <c r="O12" i="4"/>
  <c r="C16" i="4"/>
  <c r="N15" i="3"/>
  <c r="N11" i="3"/>
  <c r="C55" i="5" l="1"/>
  <c r="O17" i="5"/>
  <c r="C40" i="5"/>
  <c r="O40" i="5" s="1"/>
  <c r="O16" i="4"/>
  <c r="C17" i="4"/>
  <c r="O51" i="4"/>
  <c r="C60" i="4"/>
  <c r="C54" i="4"/>
  <c r="C62" i="4"/>
  <c r="C61" i="4"/>
  <c r="N38" i="3"/>
  <c r="O37" i="3"/>
  <c r="O36" i="3"/>
  <c r="O35" i="3"/>
  <c r="O34" i="3"/>
  <c r="O33" i="3"/>
  <c r="O32" i="3"/>
  <c r="O31" i="3"/>
  <c r="O30" i="3"/>
  <c r="O29" i="3"/>
  <c r="O27" i="3"/>
  <c r="O26" i="3"/>
  <c r="O24" i="3"/>
  <c r="O23" i="3"/>
  <c r="O22" i="3"/>
  <c r="O21" i="3"/>
  <c r="O14" i="3"/>
  <c r="O10" i="3"/>
  <c r="N15" i="1"/>
  <c r="N11" i="1"/>
  <c r="O38" i="1"/>
  <c r="O37" i="1"/>
  <c r="O36" i="1"/>
  <c r="O34" i="1"/>
  <c r="O33" i="1"/>
  <c r="O32" i="1"/>
  <c r="O31" i="1"/>
  <c r="O30" i="1"/>
  <c r="O29" i="1"/>
  <c r="O27" i="1"/>
  <c r="O26" i="1"/>
  <c r="O24" i="1"/>
  <c r="O23" i="1"/>
  <c r="O22" i="1"/>
  <c r="O21" i="1"/>
  <c r="O20" i="1"/>
  <c r="O14" i="1"/>
  <c r="O10" i="1"/>
  <c r="N28" i="1"/>
  <c r="M28" i="1"/>
  <c r="L28" i="1"/>
  <c r="K28" i="1"/>
  <c r="J28" i="1"/>
  <c r="I28" i="1"/>
  <c r="H28" i="1"/>
  <c r="G28" i="1"/>
  <c r="F28" i="1"/>
  <c r="E28" i="1"/>
  <c r="D28" i="1"/>
  <c r="C28" i="1"/>
  <c r="O17" i="4" l="1"/>
  <c r="C42" i="4"/>
  <c r="O42" i="4" s="1"/>
  <c r="C57" i="4"/>
  <c r="O28" i="1"/>
  <c r="D53" i="1"/>
  <c r="D56" i="1" s="1"/>
  <c r="N12" i="1"/>
  <c r="N39" i="3"/>
  <c r="N16" i="1" l="1"/>
  <c r="N17" i="1" s="1"/>
  <c r="N12" i="3"/>
  <c r="N16" i="3" l="1"/>
  <c r="N17" i="3" s="1"/>
  <c r="N40" i="3" s="1"/>
  <c r="M12" i="3" l="1"/>
  <c r="L12" i="3"/>
  <c r="J12" i="3"/>
  <c r="I12" i="3"/>
  <c r="G12" i="3"/>
  <c r="G49" i="3" s="1"/>
  <c r="F12" i="3"/>
  <c r="F49" i="3" s="1"/>
  <c r="E12" i="3"/>
  <c r="E49" i="3" s="1"/>
  <c r="D12" i="3"/>
  <c r="D49" i="3" s="1"/>
  <c r="M15" i="3"/>
  <c r="L15" i="3"/>
  <c r="K15" i="3"/>
  <c r="J15" i="3"/>
  <c r="I15" i="3"/>
  <c r="H15" i="3"/>
  <c r="H50" i="3" s="1"/>
  <c r="F52" i="3" l="1"/>
  <c r="E52" i="3"/>
  <c r="G52" i="3"/>
  <c r="D52" i="3"/>
  <c r="D59" i="3"/>
  <c r="E12" i="1"/>
  <c r="D12" i="1"/>
  <c r="D51" i="1" s="1"/>
  <c r="D61" i="1" l="1"/>
  <c r="D54" i="1"/>
  <c r="D62" i="1"/>
  <c r="D60" i="1"/>
  <c r="M28" i="3"/>
  <c r="M38" i="3" s="1"/>
  <c r="L28" i="3"/>
  <c r="L38" i="3" s="1"/>
  <c r="K28" i="3"/>
  <c r="K38" i="3" s="1"/>
  <c r="J28" i="3"/>
  <c r="J38" i="3" s="1"/>
  <c r="I28" i="3"/>
  <c r="I38" i="3" s="1"/>
  <c r="H28" i="3"/>
  <c r="H38" i="3" s="1"/>
  <c r="H51" i="3" s="1"/>
  <c r="G28" i="3"/>
  <c r="G51" i="3" s="1"/>
  <c r="F28" i="3"/>
  <c r="E28" i="3"/>
  <c r="E38" i="3" s="1"/>
  <c r="E51" i="3" s="1"/>
  <c r="D28" i="3"/>
  <c r="C28" i="3"/>
  <c r="G15" i="3"/>
  <c r="G50" i="3" s="1"/>
  <c r="F15" i="3"/>
  <c r="F50" i="3" s="1"/>
  <c r="E15" i="3"/>
  <c r="E50" i="3" s="1"/>
  <c r="D15" i="3"/>
  <c r="D50" i="3" s="1"/>
  <c r="C15" i="3"/>
  <c r="C50" i="3" s="1"/>
  <c r="C53" i="3" s="1"/>
  <c r="J16" i="3"/>
  <c r="J17" i="3" s="1"/>
  <c r="M11" i="3"/>
  <c r="M16" i="3" s="1"/>
  <c r="L11" i="3"/>
  <c r="L16" i="3" s="1"/>
  <c r="L17" i="3" s="1"/>
  <c r="K11" i="3"/>
  <c r="I11" i="3"/>
  <c r="I16" i="3" s="1"/>
  <c r="I17" i="3" s="1"/>
  <c r="H11" i="3"/>
  <c r="G11" i="3"/>
  <c r="F11" i="3"/>
  <c r="E11" i="3"/>
  <c r="D11" i="3"/>
  <c r="G54" i="3" l="1"/>
  <c r="G59" i="3"/>
  <c r="E54" i="3"/>
  <c r="E59" i="3"/>
  <c r="G53" i="3"/>
  <c r="G55" i="3" s="1"/>
  <c r="G58" i="3"/>
  <c r="G60" i="3"/>
  <c r="F53" i="3"/>
  <c r="F58" i="3"/>
  <c r="E53" i="3"/>
  <c r="E55" i="3" s="1"/>
  <c r="E58" i="3"/>
  <c r="E60" i="3"/>
  <c r="D53" i="3"/>
  <c r="D55" i="3" s="1"/>
  <c r="D58" i="3"/>
  <c r="D60" i="3"/>
  <c r="D57" i="1"/>
  <c r="E39" i="3"/>
  <c r="I39" i="3"/>
  <c r="I40" i="3" s="1"/>
  <c r="M39" i="3"/>
  <c r="D38" i="3"/>
  <c r="O28" i="3"/>
  <c r="O15" i="3"/>
  <c r="O50" i="3"/>
  <c r="M17" i="3"/>
  <c r="O43" i="3"/>
  <c r="K12" i="3"/>
  <c r="H12" i="3"/>
  <c r="H49" i="3" s="1"/>
  <c r="D16" i="3"/>
  <c r="D17" i="3" s="1"/>
  <c r="G16" i="3"/>
  <c r="G17" i="3" s="1"/>
  <c r="F16" i="3"/>
  <c r="F17" i="3" s="1"/>
  <c r="E16" i="3"/>
  <c r="E17" i="3" s="1"/>
  <c r="J39" i="3"/>
  <c r="J40" i="3" s="1"/>
  <c r="K39" i="3"/>
  <c r="H39" i="3"/>
  <c r="L39" i="3"/>
  <c r="L40" i="3" s="1"/>
  <c r="F51" i="3"/>
  <c r="F59" i="3" s="1"/>
  <c r="C11" i="3"/>
  <c r="C38" i="3"/>
  <c r="C51" i="3" s="1"/>
  <c r="C54" i="3" s="1"/>
  <c r="G39" i="3"/>
  <c r="C45" i="1"/>
  <c r="O45" i="1" s="1"/>
  <c r="F54" i="3" l="1"/>
  <c r="O54" i="3" s="1"/>
  <c r="F60" i="3"/>
  <c r="H55" i="3"/>
  <c r="O8" i="3"/>
  <c r="C12" i="3"/>
  <c r="C49" i="3" s="1"/>
  <c r="O11" i="3"/>
  <c r="M40" i="3"/>
  <c r="G40" i="3"/>
  <c r="E40" i="3"/>
  <c r="O38" i="3"/>
  <c r="D39" i="3"/>
  <c r="D40" i="3" s="1"/>
  <c r="K16" i="3"/>
  <c r="K17" i="3" s="1"/>
  <c r="K40" i="3"/>
  <c r="H16" i="3"/>
  <c r="H17" i="3" s="1"/>
  <c r="H40" i="3" s="1"/>
  <c r="C58" i="1"/>
  <c r="C12" i="1"/>
  <c r="C51" i="1" s="1"/>
  <c r="O51" i="3"/>
  <c r="C39" i="3"/>
  <c r="F39" i="3"/>
  <c r="F40" i="3" s="1"/>
  <c r="F55" i="3" l="1"/>
  <c r="O55" i="3" s="1"/>
  <c r="C52" i="3"/>
  <c r="C59" i="3"/>
  <c r="C58" i="3"/>
  <c r="C60" i="3"/>
  <c r="O12" i="3"/>
  <c r="C16" i="3"/>
  <c r="C17" i="3" s="1"/>
  <c r="O17" i="3" s="1"/>
  <c r="O39" i="3"/>
  <c r="O49" i="3"/>
  <c r="M12" i="1"/>
  <c r="K12" i="1"/>
  <c r="J12" i="1"/>
  <c r="I12" i="1"/>
  <c r="M15" i="1"/>
  <c r="L15" i="1"/>
  <c r="J15" i="1"/>
  <c r="I15" i="1"/>
  <c r="G15" i="1"/>
  <c r="F15" i="1"/>
  <c r="E15" i="1"/>
  <c r="C15" i="1"/>
  <c r="C52" i="1"/>
  <c r="M11" i="1"/>
  <c r="L11" i="1"/>
  <c r="K11" i="1"/>
  <c r="J11" i="1"/>
  <c r="H11" i="1"/>
  <c r="G11" i="1"/>
  <c r="F11" i="1"/>
  <c r="D11" i="1"/>
  <c r="C11" i="1"/>
  <c r="C55" i="3" l="1"/>
  <c r="O16" i="3"/>
  <c r="C40" i="3"/>
  <c r="O40" i="3" s="1"/>
  <c r="O52" i="1"/>
  <c r="M16" i="1"/>
  <c r="M17" i="1" s="1"/>
  <c r="H12" i="1"/>
  <c r="J16" i="1"/>
  <c r="J17" i="1" s="1"/>
  <c r="C16" i="1"/>
  <c r="C17" i="1" s="1"/>
  <c r="C60" i="1"/>
  <c r="K15" i="1"/>
  <c r="K16" i="1" s="1"/>
  <c r="K17" i="1" s="1"/>
  <c r="E11" i="1"/>
  <c r="E16" i="1" s="1"/>
  <c r="E17" i="1" s="1"/>
  <c r="I11" i="1"/>
  <c r="I16" i="1" s="1"/>
  <c r="I17" i="1" s="1"/>
  <c r="D15" i="1"/>
  <c r="H15" i="1"/>
  <c r="O11" i="1" l="1"/>
  <c r="D16" i="1"/>
  <c r="D17" i="1" s="1"/>
  <c r="O15" i="1"/>
  <c r="C53" i="1"/>
  <c r="C56" i="1" s="1"/>
  <c r="O40" i="1"/>
  <c r="H16" i="1"/>
  <c r="H17" i="1" s="1"/>
  <c r="H42" i="1" s="1"/>
  <c r="L12" i="1"/>
  <c r="F12" i="1"/>
  <c r="C41" i="1"/>
  <c r="C54" i="1"/>
  <c r="C55" i="1"/>
  <c r="C61" i="1"/>
  <c r="O53" i="1" l="1"/>
  <c r="C42" i="1"/>
  <c r="O41" i="1"/>
  <c r="C62" i="1"/>
  <c r="G12" i="1"/>
  <c r="O12" i="1" s="1"/>
  <c r="O8" i="1"/>
  <c r="L16" i="1"/>
  <c r="L17" i="1" s="1"/>
  <c r="F16" i="1"/>
  <c r="F17" i="1" s="1"/>
  <c r="C57" i="1"/>
  <c r="G16" i="1" l="1"/>
  <c r="G17" i="1" s="1"/>
  <c r="O16" i="1" l="1"/>
  <c r="O42" i="1"/>
  <c r="O17" i="1"/>
</calcChain>
</file>

<file path=xl/sharedStrings.xml><?xml version="1.0" encoding="utf-8"?>
<sst xmlns="http://schemas.openxmlformats.org/spreadsheetml/2006/main" count="284" uniqueCount="63">
  <si>
    <t>Avalon Energy Ltd.</t>
  </si>
  <si>
    <t>Total</t>
  </si>
  <si>
    <t>Income</t>
  </si>
  <si>
    <t xml:space="preserve">   REVENUE</t>
  </si>
  <si>
    <t xml:space="preserve">      Oil &amp; Gas Sales</t>
  </si>
  <si>
    <t xml:space="preserve">         Oil</t>
  </si>
  <si>
    <t xml:space="preserve">      Total Oil &amp; Gas Sales</t>
  </si>
  <si>
    <t xml:space="preserve">   Total REVENUE</t>
  </si>
  <si>
    <t xml:space="preserve">   ROYALTIES EXPENSE</t>
  </si>
  <si>
    <t xml:space="preserve">   Total ROYALTIES EXPENSE</t>
  </si>
  <si>
    <t>Total Income</t>
  </si>
  <si>
    <t>Gross Profit</t>
  </si>
  <si>
    <t>Expenses</t>
  </si>
  <si>
    <t xml:space="preserve">   LEASE OPERATING</t>
  </si>
  <si>
    <t xml:space="preserve">      Chemicals</t>
  </si>
  <si>
    <t xml:space="preserve">      Contract Operator and Labour</t>
  </si>
  <si>
    <t xml:space="preserve">      Fuel/Utilities</t>
  </si>
  <si>
    <t xml:space="preserve">      Lease Rentals</t>
  </si>
  <si>
    <t xml:space="preserve">         FH Surface Rentals</t>
  </si>
  <si>
    <t xml:space="preserve">      Total Lease Rentals</t>
  </si>
  <si>
    <t xml:space="preserve">      Licences/Fees</t>
  </si>
  <si>
    <t xml:space="preserve">      Road/Lease</t>
  </si>
  <si>
    <t xml:space="preserve">      Supplies</t>
  </si>
  <si>
    <t xml:space="preserve">      Trucking</t>
  </si>
  <si>
    <t xml:space="preserve">   Total LEASE OPERATING</t>
  </si>
  <si>
    <t>Total Expenses</t>
  </si>
  <si>
    <t>Profit</t>
  </si>
  <si>
    <t>Oil Sales</t>
  </si>
  <si>
    <t>Bbl</t>
  </si>
  <si>
    <t>BOD</t>
  </si>
  <si>
    <t>$/Bbl</t>
  </si>
  <si>
    <t>REVENUE</t>
  </si>
  <si>
    <t>$</t>
  </si>
  <si>
    <t>ROYALTIES</t>
  </si>
  <si>
    <t>EXPENSES</t>
  </si>
  <si>
    <t>NET BACK</t>
  </si>
  <si>
    <t>CROWN ROYALTY</t>
  </si>
  <si>
    <t>%</t>
  </si>
  <si>
    <t>FREEHOLD ROYALTY</t>
  </si>
  <si>
    <t>ROYALTY RATE</t>
  </si>
  <si>
    <t>EXPENSES/SALES</t>
  </si>
  <si>
    <t>EXPENSES/NET REV</t>
  </si>
  <si>
    <t>Crown Royalty</t>
  </si>
  <si>
    <t xml:space="preserve">      Small Parts</t>
  </si>
  <si>
    <t xml:space="preserve">       Equipment Rental</t>
  </si>
  <si>
    <t xml:space="preserve">      Repairs/Maintenance</t>
  </si>
  <si>
    <t>REVENUE  VOLUMES (Net 15%)</t>
  </si>
  <si>
    <t>Net Working Interest 15% BPO/25% APO</t>
  </si>
  <si>
    <t xml:space="preserve">      Chart Reading</t>
  </si>
  <si>
    <t xml:space="preserve">      Insurance</t>
  </si>
  <si>
    <t xml:space="preserve">      Property Taxes</t>
  </si>
  <si>
    <t xml:space="preserve">      Testing</t>
  </si>
  <si>
    <t>Operating Statement 100/10-07-012-14 W4</t>
  </si>
  <si>
    <t xml:space="preserve">         Crown PNG Lease Rental</t>
  </si>
  <si>
    <t xml:space="preserve">         Administration</t>
  </si>
  <si>
    <t>Oil Prod (15%)</t>
  </si>
  <si>
    <t>Operating Statement 102/09-30-012-14 W4 &amp; 100/09-30-012-14 W4</t>
  </si>
  <si>
    <t xml:space="preserve">        Crown PNG Lease Rentals</t>
  </si>
  <si>
    <t xml:space="preserve">      Special Services</t>
  </si>
  <si>
    <t>Net Working Interest 100%</t>
  </si>
  <si>
    <t>Net Working Interest 15%</t>
  </si>
  <si>
    <t>Oil Prod (100%)</t>
  </si>
  <si>
    <t xml:space="preserve">      Workover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</si>
</sst>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_€"/>
    <numFmt numFmtId="165" formatCode="&quot;$&quot;* #,##0.00\ _€"/>
    <numFmt numFmtId="166" formatCode="0.0"/>
    <numFmt numFmtId="167" formatCode="#,##0.0;\-#,##0.0"/>
    <numFmt numFmtId="168" formatCode="0.000"/>
  </numFmts>
  <fonts count="11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trike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right" wrapText="1"/>
    </xf>
    <xf numFmtId="165" fontId="4" fillId="0" borderId="2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0" fontId="0" fillId="0" borderId="3" xfId="0" applyBorder="1"/>
    <xf numFmtId="2" fontId="7" fillId="0" borderId="3" xfId="0" applyNumberFormat="1" applyFont="1" applyBorder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166" fontId="8" fillId="0" borderId="3" xfId="0" applyNumberFormat="1" applyFont="1" applyBorder="1" applyAlignment="1">
      <alignment horizontal="right"/>
    </xf>
    <xf numFmtId="167" fontId="6" fillId="0" borderId="3" xfId="0" applyNumberFormat="1" applyFont="1" applyBorder="1"/>
    <xf numFmtId="49" fontId="6" fillId="0" borderId="2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right"/>
    </xf>
    <xf numFmtId="49" fontId="8" fillId="0" borderId="3" xfId="0" applyNumberFormat="1" applyFont="1" applyBorder="1"/>
    <xf numFmtId="49" fontId="7" fillId="0" borderId="3" xfId="0" applyNumberFormat="1" applyFont="1" applyBorder="1"/>
    <xf numFmtId="2" fontId="9" fillId="0" borderId="3" xfId="0" applyNumberFormat="1" applyFont="1" applyBorder="1"/>
    <xf numFmtId="2" fontId="5" fillId="0" borderId="3" xfId="0" applyNumberFormat="1" applyFont="1" applyBorder="1"/>
    <xf numFmtId="49" fontId="8" fillId="0" borderId="0" xfId="0" applyNumberFormat="1" applyFont="1"/>
    <xf numFmtId="49" fontId="6" fillId="0" borderId="0" xfId="0" applyNumberFormat="1" applyFont="1"/>
    <xf numFmtId="49" fontId="7" fillId="0" borderId="0" xfId="0" applyNumberFormat="1" applyFont="1"/>
    <xf numFmtId="39" fontId="8" fillId="0" borderId="0" xfId="0" applyNumberFormat="1" applyFont="1"/>
    <xf numFmtId="39" fontId="6" fillId="0" borderId="0" xfId="0" applyNumberFormat="1" applyFont="1"/>
    <xf numFmtId="4" fontId="8" fillId="0" borderId="2" xfId="0" applyNumberFormat="1" applyFont="1" applyBorder="1"/>
    <xf numFmtId="4" fontId="7" fillId="0" borderId="2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7" fillId="0" borderId="1" xfId="0" applyNumberFormat="1" applyFont="1" applyBorder="1"/>
    <xf numFmtId="49" fontId="10" fillId="0" borderId="2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17" fontId="3" fillId="0" borderId="1" xfId="0" applyNumberFormat="1" applyFont="1" applyBorder="1" applyAlignment="1">
      <alignment horizontal="center" wrapText="1"/>
    </xf>
    <xf numFmtId="165" fontId="4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0" fontId="0" fillId="0" borderId="2" xfId="0" applyBorder="1"/>
    <xf numFmtId="0" fontId="8" fillId="0" borderId="0" xfId="0" applyFont="1"/>
    <xf numFmtId="0" fontId="8" fillId="0" borderId="3" xfId="0" applyFont="1" applyBorder="1"/>
    <xf numFmtId="164" fontId="4" fillId="0" borderId="0" xfId="0" applyNumberFormat="1" applyFont="1" applyAlignment="1">
      <alignment horizontal="right" wrapText="1"/>
    </xf>
    <xf numFmtId="168" fontId="8" fillId="0" borderId="3" xfId="0" applyNumberFormat="1" applyFont="1" applyBorder="1"/>
    <xf numFmtId="2" fontId="8" fillId="0" borderId="3" xfId="0" applyNumberFormat="1" applyFont="1" applyBorder="1"/>
    <xf numFmtId="0" fontId="0" fillId="0" borderId="0" xfId="0"/>
    <xf numFmtId="164" fontId="5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workbookViewId="0">
      <selection activeCell="O63" sqref="O63"/>
    </sheetView>
  </sheetViews>
  <sheetFormatPr defaultRowHeight="15" x14ac:dyDescent="0.25"/>
  <cols>
    <col min="1" max="1" width="30.140625" customWidth="1"/>
    <col min="2" max="2" width="7.5703125" customWidth="1"/>
    <col min="3" max="3" width="8.5703125" customWidth="1"/>
    <col min="4" max="4" width="9.5703125" bestFit="1" customWidth="1"/>
    <col min="5" max="5" width="8.5703125" customWidth="1"/>
    <col min="6" max="13" width="9.42578125" customWidth="1"/>
    <col min="14" max="14" width="10.42578125" bestFit="1" customWidth="1"/>
    <col min="15" max="15" width="13.140625" bestFit="1" customWidth="1"/>
  </cols>
  <sheetData>
    <row r="1" spans="1:15" ht="18" x14ac:dyDescent="0.25">
      <c r="A1" s="51" t="s">
        <v>0</v>
      </c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8" x14ac:dyDescent="0.25">
      <c r="A2" s="51" t="s">
        <v>56</v>
      </c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5">
      <c r="A3" s="53" t="s">
        <v>60</v>
      </c>
      <c r="B3" s="53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5" spans="1:15" ht="12" customHeight="1" x14ac:dyDescent="0.25">
      <c r="A5" s="1"/>
      <c r="B5" s="1"/>
      <c r="C5" s="40">
        <v>43466</v>
      </c>
      <c r="D5" s="40">
        <v>43514</v>
      </c>
      <c r="E5" s="40">
        <v>43542</v>
      </c>
      <c r="F5" s="40">
        <v>43573</v>
      </c>
      <c r="G5" s="40">
        <v>43603</v>
      </c>
      <c r="H5" s="40">
        <v>43634</v>
      </c>
      <c r="I5" s="40">
        <v>43664</v>
      </c>
      <c r="J5" s="40">
        <v>43695</v>
      </c>
      <c r="K5" s="40">
        <v>43726</v>
      </c>
      <c r="L5" s="40">
        <v>43756</v>
      </c>
      <c r="M5" s="40">
        <v>43787</v>
      </c>
      <c r="N5" s="40">
        <v>43817</v>
      </c>
      <c r="O5" s="2" t="s">
        <v>1</v>
      </c>
    </row>
    <row r="6" spans="1:15" ht="12" customHeight="1" x14ac:dyDescent="0.25">
      <c r="A6" s="3" t="s">
        <v>2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O6" s="4"/>
    </row>
    <row r="7" spans="1:15" ht="12" customHeight="1" x14ac:dyDescent="0.25">
      <c r="A7" s="3" t="s">
        <v>3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O7" s="5"/>
    </row>
    <row r="8" spans="1:15" ht="12" customHeight="1" x14ac:dyDescent="0.25">
      <c r="A8" s="3" t="s">
        <v>54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5">
        <f>SUM(C8:N8)</f>
        <v>0</v>
      </c>
    </row>
    <row r="9" spans="1:15" ht="12" customHeight="1" x14ac:dyDescent="0.25">
      <c r="A9" s="3" t="s">
        <v>4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O9" s="5"/>
    </row>
    <row r="10" spans="1:15" ht="12" customHeight="1" x14ac:dyDescent="0.25">
      <c r="A10" s="3" t="s">
        <v>5</v>
      </c>
      <c r="B10" s="3"/>
      <c r="C10" s="5">
        <f>15900.77*0.15</f>
        <v>2385.1154999999999</v>
      </c>
      <c r="D10" s="5">
        <v>2510.6999999999998</v>
      </c>
      <c r="E10" s="5">
        <v>2639.4</v>
      </c>
      <c r="F10" s="5">
        <v>7150.9</v>
      </c>
      <c r="G10" s="5">
        <v>5534.52</v>
      </c>
      <c r="H10" s="5">
        <v>2283.38</v>
      </c>
      <c r="I10" s="5"/>
      <c r="J10" s="5"/>
      <c r="K10" s="5"/>
      <c r="L10" s="5"/>
      <c r="M10" s="5"/>
      <c r="N10" s="44"/>
      <c r="O10" s="5">
        <f>SUM(C10:N10)</f>
        <v>22504.015500000001</v>
      </c>
    </row>
    <row r="11" spans="1:15" ht="12" customHeight="1" x14ac:dyDescent="0.25">
      <c r="A11" s="3" t="s">
        <v>6</v>
      </c>
      <c r="B11" s="3"/>
      <c r="C11" s="6">
        <f t="shared" ref="C11:N11" si="0">(C9)+(C10)</f>
        <v>2385.1154999999999</v>
      </c>
      <c r="D11" s="6">
        <f t="shared" si="0"/>
        <v>2510.6999999999998</v>
      </c>
      <c r="E11" s="6">
        <f t="shared" si="0"/>
        <v>2639.4</v>
      </c>
      <c r="F11" s="6">
        <f t="shared" si="0"/>
        <v>7150.9</v>
      </c>
      <c r="G11" s="6">
        <f t="shared" si="0"/>
        <v>5534.52</v>
      </c>
      <c r="H11" s="6">
        <f t="shared" si="0"/>
        <v>2283.38</v>
      </c>
      <c r="I11" s="6">
        <f t="shared" si="0"/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6">
        <f t="shared" si="0"/>
        <v>0</v>
      </c>
      <c r="N11" s="6">
        <f t="shared" si="0"/>
        <v>0</v>
      </c>
      <c r="O11" s="7">
        <f>SUM(C11:N11)</f>
        <v>22504.015500000001</v>
      </c>
    </row>
    <row r="12" spans="1:15" ht="12" customHeight="1" x14ac:dyDescent="0.25">
      <c r="A12" s="3" t="s">
        <v>7</v>
      </c>
      <c r="B12" s="3"/>
      <c r="C12" s="6">
        <f t="shared" ref="C12:N12" si="1">+C8+C10</f>
        <v>2385.1154999999999</v>
      </c>
      <c r="D12" s="6">
        <f t="shared" si="1"/>
        <v>2510.6999999999998</v>
      </c>
      <c r="E12" s="6">
        <f t="shared" si="1"/>
        <v>2639.4</v>
      </c>
      <c r="F12" s="6">
        <f t="shared" si="1"/>
        <v>7150.9</v>
      </c>
      <c r="G12" s="6">
        <f t="shared" si="1"/>
        <v>5534.52</v>
      </c>
      <c r="H12" s="6">
        <f t="shared" si="1"/>
        <v>2283.38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6">
        <f t="shared" si="1"/>
        <v>0</v>
      </c>
      <c r="O12" s="8">
        <f>SUM(C12:N12)</f>
        <v>22504.015500000001</v>
      </c>
    </row>
    <row r="13" spans="1:15" ht="12" customHeight="1" x14ac:dyDescent="0.25">
      <c r="A13" s="3" t="s">
        <v>8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O13" s="5"/>
    </row>
    <row r="14" spans="1:15" ht="12" customHeight="1" x14ac:dyDescent="0.25">
      <c r="A14" s="3" t="s">
        <v>42</v>
      </c>
      <c r="B14" s="3"/>
      <c r="C14" s="5">
        <v>0</v>
      </c>
      <c r="D14" s="5">
        <v>0</v>
      </c>
      <c r="E14" s="5">
        <v>0</v>
      </c>
      <c r="F14" s="5">
        <v>-279.7</v>
      </c>
      <c r="G14" s="5">
        <v>-487.32</v>
      </c>
      <c r="H14" s="5">
        <v>-500.66</v>
      </c>
      <c r="I14" s="5"/>
      <c r="J14" s="5"/>
      <c r="K14" s="5"/>
      <c r="L14" s="5"/>
      <c r="M14" s="5"/>
      <c r="N14" s="5"/>
      <c r="O14" s="9">
        <f>SUM(C14:N14)</f>
        <v>-1267.68</v>
      </c>
    </row>
    <row r="15" spans="1:15" ht="12" customHeight="1" x14ac:dyDescent="0.25">
      <c r="A15" s="3" t="s">
        <v>9</v>
      </c>
      <c r="B15" s="3"/>
      <c r="C15" s="6">
        <f t="shared" ref="C15:N15" si="2">((C13)+(C14))</f>
        <v>0</v>
      </c>
      <c r="D15" s="6">
        <f t="shared" si="2"/>
        <v>0</v>
      </c>
      <c r="E15" s="6">
        <f t="shared" si="2"/>
        <v>0</v>
      </c>
      <c r="F15" s="6">
        <f t="shared" si="2"/>
        <v>-279.7</v>
      </c>
      <c r="G15" s="6">
        <f t="shared" si="2"/>
        <v>-487.32</v>
      </c>
      <c r="H15" s="6">
        <f t="shared" si="2"/>
        <v>-500.66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8">
        <f>SUM(C15:N15)</f>
        <v>-1267.68</v>
      </c>
    </row>
    <row r="16" spans="1:15" ht="12" customHeight="1" x14ac:dyDescent="0.25">
      <c r="A16" s="3" t="s">
        <v>10</v>
      </c>
      <c r="B16" s="3"/>
      <c r="C16" s="6">
        <f t="shared" ref="C16:N16" si="3">(C12)+(C15)</f>
        <v>2385.1154999999999</v>
      </c>
      <c r="D16" s="6">
        <f t="shared" si="3"/>
        <v>2510.6999999999998</v>
      </c>
      <c r="E16" s="6">
        <f t="shared" si="3"/>
        <v>2639.4</v>
      </c>
      <c r="F16" s="6">
        <f t="shared" si="3"/>
        <v>6871.2</v>
      </c>
      <c r="G16" s="6">
        <f t="shared" si="3"/>
        <v>5047.2000000000007</v>
      </c>
      <c r="H16" s="6">
        <f t="shared" si="3"/>
        <v>1782.72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8">
        <f>SUM(C16:N16)</f>
        <v>21236.335500000001</v>
      </c>
    </row>
    <row r="17" spans="1:15" ht="12" customHeight="1" x14ac:dyDescent="0.25">
      <c r="A17" s="3" t="s">
        <v>11</v>
      </c>
      <c r="B17" s="3"/>
      <c r="C17" s="6">
        <f t="shared" ref="C17:N17" si="4">(C16)-(0)</f>
        <v>2385.1154999999999</v>
      </c>
      <c r="D17" s="6">
        <f t="shared" si="4"/>
        <v>2510.6999999999998</v>
      </c>
      <c r="E17" s="6">
        <f t="shared" si="4"/>
        <v>2639.4</v>
      </c>
      <c r="F17" s="6">
        <f t="shared" si="4"/>
        <v>6871.2</v>
      </c>
      <c r="G17" s="6">
        <f t="shared" si="4"/>
        <v>5047.2000000000007</v>
      </c>
      <c r="H17" s="6">
        <f t="shared" si="4"/>
        <v>1782.72</v>
      </c>
      <c r="I17" s="6">
        <f t="shared" si="4"/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8">
        <f>SUM(C17:N17)</f>
        <v>21236.335500000001</v>
      </c>
    </row>
    <row r="18" spans="1:15" ht="12" customHeight="1" x14ac:dyDescent="0.25">
      <c r="A18" s="3" t="s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O18" s="4"/>
    </row>
    <row r="19" spans="1:15" ht="12" customHeight="1" x14ac:dyDescent="0.25">
      <c r="A19" s="3" t="s">
        <v>13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O19" s="5"/>
    </row>
    <row r="20" spans="1:15" ht="12" customHeight="1" x14ac:dyDescent="0.25">
      <c r="A20" s="3" t="s">
        <v>48</v>
      </c>
      <c r="B20" s="3"/>
      <c r="C20" s="4">
        <v>2.72</v>
      </c>
      <c r="D20" s="4">
        <v>5.48</v>
      </c>
      <c r="E20" s="4">
        <v>2.2000000000000002</v>
      </c>
      <c r="F20" s="4">
        <v>2.75</v>
      </c>
      <c r="G20" s="4">
        <v>1.65</v>
      </c>
      <c r="H20" s="4">
        <v>0</v>
      </c>
      <c r="I20" s="4"/>
      <c r="J20" s="4"/>
      <c r="K20" s="4"/>
      <c r="L20" s="4"/>
      <c r="M20" s="4"/>
      <c r="O20" s="5">
        <f t="shared" ref="O20:O24" si="5">SUM(C20:N20)</f>
        <v>14.800000000000002</v>
      </c>
    </row>
    <row r="21" spans="1:15" ht="12" customHeight="1" x14ac:dyDescent="0.25">
      <c r="A21" s="3" t="s">
        <v>14</v>
      </c>
      <c r="B21" s="3"/>
      <c r="C21" s="5">
        <v>71.92</v>
      </c>
      <c r="D21" s="4">
        <v>147.08000000000001</v>
      </c>
      <c r="E21" s="4">
        <v>150.88</v>
      </c>
      <c r="F21" s="5">
        <v>130.79</v>
      </c>
      <c r="G21" s="4">
        <v>185.01</v>
      </c>
      <c r="H21" s="4">
        <v>193.07</v>
      </c>
      <c r="I21" s="5"/>
      <c r="J21" s="4"/>
      <c r="K21" s="4"/>
      <c r="L21" s="4"/>
      <c r="M21" s="4"/>
      <c r="N21" s="4"/>
      <c r="O21" s="5">
        <f t="shared" si="5"/>
        <v>878.75</v>
      </c>
    </row>
    <row r="22" spans="1:15" ht="12" customHeight="1" x14ac:dyDescent="0.25">
      <c r="A22" s="3" t="s">
        <v>15</v>
      </c>
      <c r="B22" s="3"/>
      <c r="C22" s="5">
        <v>198</v>
      </c>
      <c r="D22" s="5">
        <v>373.09</v>
      </c>
      <c r="E22" s="5">
        <v>216</v>
      </c>
      <c r="F22" s="5">
        <v>1730.61</v>
      </c>
      <c r="G22" s="5">
        <v>306.76</v>
      </c>
      <c r="H22" s="5">
        <v>279</v>
      </c>
      <c r="I22" s="5"/>
      <c r="J22" s="5"/>
      <c r="K22" s="5"/>
      <c r="L22" s="5"/>
      <c r="M22" s="5"/>
      <c r="N22" s="5"/>
      <c r="O22" s="5">
        <f t="shared" si="5"/>
        <v>3103.46</v>
      </c>
    </row>
    <row r="23" spans="1:15" ht="12" customHeight="1" x14ac:dyDescent="0.25">
      <c r="A23" s="3" t="s">
        <v>44</v>
      </c>
      <c r="B23" s="3"/>
      <c r="C23" s="5">
        <v>4.76</v>
      </c>
      <c r="D23" s="5">
        <v>4.79</v>
      </c>
      <c r="E23" s="5">
        <v>5.53</v>
      </c>
      <c r="F23" s="5">
        <v>15.4</v>
      </c>
      <c r="G23" s="5">
        <v>5.53</v>
      </c>
      <c r="H23" s="5">
        <v>4.79</v>
      </c>
      <c r="I23" s="5"/>
      <c r="J23" s="5"/>
      <c r="K23" s="5"/>
      <c r="L23" s="5"/>
      <c r="M23" s="5"/>
      <c r="N23" s="5"/>
      <c r="O23" s="5">
        <f t="shared" si="5"/>
        <v>40.800000000000004</v>
      </c>
    </row>
    <row r="24" spans="1:15" ht="12" customHeight="1" x14ac:dyDescent="0.25">
      <c r="A24" s="3" t="s">
        <v>16</v>
      </c>
      <c r="B24" s="3"/>
      <c r="C24" s="5">
        <v>426.9</v>
      </c>
      <c r="D24" s="5">
        <v>954.83</v>
      </c>
      <c r="E24" s="5">
        <v>673.63</v>
      </c>
      <c r="F24" s="5">
        <v>181.92</v>
      </c>
      <c r="G24" s="5">
        <v>160.12</v>
      </c>
      <c r="H24" s="5">
        <v>45.53</v>
      </c>
      <c r="I24" s="5"/>
      <c r="J24" s="5"/>
      <c r="K24" s="5"/>
      <c r="L24" s="5"/>
      <c r="M24" s="5"/>
      <c r="N24" s="5"/>
      <c r="O24" s="5">
        <f t="shared" si="5"/>
        <v>2442.9300000000003</v>
      </c>
    </row>
    <row r="25" spans="1:15" ht="12" customHeight="1" x14ac:dyDescent="0.25">
      <c r="A25" s="3" t="s">
        <v>17</v>
      </c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O25" s="5"/>
    </row>
    <row r="26" spans="1:15" ht="12" customHeight="1" x14ac:dyDescent="0.25">
      <c r="A26" s="3" t="s">
        <v>57</v>
      </c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O26" s="5">
        <f>SUM(C26:N26)</f>
        <v>0</v>
      </c>
    </row>
    <row r="27" spans="1:15" ht="12" customHeight="1" x14ac:dyDescent="0.25">
      <c r="A27" s="3" t="s">
        <v>18</v>
      </c>
      <c r="B27" s="3"/>
      <c r="C27" s="4"/>
      <c r="D27" s="4"/>
      <c r="E27" s="4"/>
      <c r="F27" s="4"/>
      <c r="G27" s="5"/>
      <c r="H27" s="5"/>
      <c r="I27" s="5"/>
      <c r="J27" s="5"/>
      <c r="K27" s="5"/>
      <c r="L27" s="5"/>
      <c r="M27" s="5"/>
      <c r="O27" s="5">
        <f>SUM(C27:N27)</f>
        <v>0</v>
      </c>
    </row>
    <row r="28" spans="1:15" ht="12" customHeight="1" x14ac:dyDescent="0.25">
      <c r="A28" s="3" t="s">
        <v>19</v>
      </c>
      <c r="B28" s="3"/>
      <c r="C28" s="6">
        <f>+C26+C27</f>
        <v>0</v>
      </c>
      <c r="D28" s="6">
        <f t="shared" ref="D28:N28" si="6">+D26+D27</f>
        <v>0</v>
      </c>
      <c r="E28" s="6">
        <f t="shared" si="6"/>
        <v>0</v>
      </c>
      <c r="F28" s="6">
        <f t="shared" si="6"/>
        <v>0</v>
      </c>
      <c r="G28" s="6">
        <f t="shared" si="6"/>
        <v>0</v>
      </c>
      <c r="H28" s="6">
        <f t="shared" si="6"/>
        <v>0</v>
      </c>
      <c r="I28" s="6">
        <f t="shared" si="6"/>
        <v>0</v>
      </c>
      <c r="J28" s="6">
        <f t="shared" si="6"/>
        <v>0</v>
      </c>
      <c r="K28" s="6">
        <f t="shared" si="6"/>
        <v>0</v>
      </c>
      <c r="L28" s="6">
        <f t="shared" si="6"/>
        <v>0</v>
      </c>
      <c r="M28" s="6">
        <f t="shared" si="6"/>
        <v>0</v>
      </c>
      <c r="N28" s="6">
        <f t="shared" si="6"/>
        <v>0</v>
      </c>
      <c r="O28" s="8">
        <f>SUM(C28:N28)</f>
        <v>0</v>
      </c>
    </row>
    <row r="29" spans="1:15" ht="12" customHeight="1" x14ac:dyDescent="0.25">
      <c r="A29" s="3" t="s">
        <v>49</v>
      </c>
      <c r="B29" s="3"/>
      <c r="C29" s="41"/>
      <c r="D29" s="41"/>
      <c r="E29" s="41"/>
      <c r="F29" s="41"/>
      <c r="G29" s="42">
        <v>286.14999999999998</v>
      </c>
      <c r="H29" s="41"/>
      <c r="I29" s="41"/>
      <c r="J29" s="41"/>
      <c r="K29" s="41"/>
      <c r="L29" s="41"/>
      <c r="M29" s="41"/>
      <c r="O29" s="5">
        <f t="shared" ref="O29:O42" si="7">SUM(C29:N29)</f>
        <v>286.14999999999998</v>
      </c>
    </row>
    <row r="30" spans="1:15" ht="12" customHeight="1" x14ac:dyDescent="0.25">
      <c r="A30" s="3" t="s">
        <v>20</v>
      </c>
      <c r="B30" s="3"/>
      <c r="C30" s="5"/>
      <c r="D30" s="5">
        <v>16.350000000000001</v>
      </c>
      <c r="E30" s="5">
        <v>17.18</v>
      </c>
      <c r="F30" s="4"/>
      <c r="G30" s="4">
        <v>43.93</v>
      </c>
      <c r="H30" s="4"/>
      <c r="I30" s="4"/>
      <c r="J30" s="4"/>
      <c r="K30" s="4"/>
      <c r="L30" s="4"/>
      <c r="M30" s="4"/>
      <c r="O30" s="5">
        <f t="shared" si="7"/>
        <v>77.460000000000008</v>
      </c>
    </row>
    <row r="31" spans="1:15" ht="12" customHeight="1" x14ac:dyDescent="0.25">
      <c r="A31" s="3" t="s">
        <v>50</v>
      </c>
      <c r="B31" s="3"/>
      <c r="C31" s="5"/>
      <c r="D31" s="5"/>
      <c r="E31" s="5"/>
      <c r="F31" s="4"/>
      <c r="G31" s="4"/>
      <c r="H31" s="4"/>
      <c r="I31" s="4"/>
      <c r="J31" s="4"/>
      <c r="K31" s="4"/>
      <c r="L31" s="4"/>
      <c r="M31" s="4"/>
      <c r="O31" s="5">
        <f t="shared" si="7"/>
        <v>0</v>
      </c>
    </row>
    <row r="32" spans="1:15" ht="12" customHeight="1" x14ac:dyDescent="0.25">
      <c r="A32" s="3" t="s">
        <v>45</v>
      </c>
      <c r="B32" s="3"/>
      <c r="C32" s="5"/>
      <c r="D32" s="5">
        <v>217.73</v>
      </c>
      <c r="E32" s="5">
        <v>1019.59</v>
      </c>
      <c r="F32" s="4">
        <v>249.42</v>
      </c>
      <c r="G32" s="4">
        <v>1576.83</v>
      </c>
      <c r="H32" s="4">
        <v>463.12</v>
      </c>
      <c r="I32" s="4"/>
      <c r="J32" s="4"/>
      <c r="K32" s="4"/>
      <c r="L32" s="4"/>
      <c r="M32" s="4"/>
      <c r="N32" s="44"/>
      <c r="O32" s="5">
        <f t="shared" si="7"/>
        <v>3526.6899999999996</v>
      </c>
    </row>
    <row r="33" spans="1:15" ht="12" customHeight="1" x14ac:dyDescent="0.25">
      <c r="A33" s="3" t="s">
        <v>21</v>
      </c>
      <c r="B33" s="3"/>
      <c r="C33" s="4"/>
      <c r="D33" s="4">
        <v>90</v>
      </c>
      <c r="E33" s="4"/>
      <c r="F33" s="5">
        <v>171</v>
      </c>
      <c r="G33" s="4"/>
      <c r="H33" s="4"/>
      <c r="I33" s="4"/>
      <c r="J33" s="4"/>
      <c r="K33" s="4"/>
      <c r="L33" s="4"/>
      <c r="M33" s="4"/>
      <c r="O33" s="5">
        <f t="shared" si="7"/>
        <v>261</v>
      </c>
    </row>
    <row r="34" spans="1:15" ht="12" customHeight="1" x14ac:dyDescent="0.25">
      <c r="A34" s="3" t="s">
        <v>43</v>
      </c>
      <c r="B34" s="3"/>
      <c r="C34" s="4">
        <v>62.39</v>
      </c>
      <c r="D34" s="4"/>
      <c r="E34" s="4">
        <v>101.35</v>
      </c>
      <c r="F34" s="5">
        <v>85.81</v>
      </c>
      <c r="G34" s="4">
        <v>97.33</v>
      </c>
      <c r="H34" s="4">
        <v>56.92</v>
      </c>
      <c r="I34" s="4"/>
      <c r="J34" s="4"/>
      <c r="K34" s="4"/>
      <c r="L34" s="4"/>
      <c r="M34" s="4"/>
      <c r="N34" s="4"/>
      <c r="O34" s="5">
        <f t="shared" si="7"/>
        <v>403.8</v>
      </c>
    </row>
    <row r="35" spans="1:15" ht="12" customHeight="1" x14ac:dyDescent="0.25">
      <c r="A35" s="3" t="s">
        <v>58</v>
      </c>
      <c r="B35" s="3"/>
      <c r="C35" s="4">
        <v>113.63</v>
      </c>
      <c r="D35" s="4"/>
      <c r="E35" s="4"/>
      <c r="F35" s="5"/>
      <c r="G35" s="4">
        <v>111.37</v>
      </c>
      <c r="H35" s="4"/>
      <c r="I35" s="4"/>
      <c r="J35" s="4"/>
      <c r="K35" s="4"/>
      <c r="L35" s="4"/>
      <c r="M35" s="4"/>
      <c r="N35" s="4"/>
      <c r="O35" s="5">
        <f t="shared" si="7"/>
        <v>225</v>
      </c>
    </row>
    <row r="36" spans="1:15" ht="12" customHeight="1" x14ac:dyDescent="0.25">
      <c r="A36" s="3" t="s">
        <v>22</v>
      </c>
      <c r="B36" s="3"/>
      <c r="C36" s="4">
        <v>241.01</v>
      </c>
      <c r="D36" s="4"/>
      <c r="E36" s="5">
        <v>-6.06</v>
      </c>
      <c r="F36" s="4">
        <v>76.81</v>
      </c>
      <c r="G36" s="4">
        <v>91.91</v>
      </c>
      <c r="H36" s="4"/>
      <c r="I36" s="4"/>
      <c r="J36" s="4"/>
      <c r="K36" s="4"/>
      <c r="L36" s="4"/>
      <c r="M36" s="4"/>
      <c r="O36" s="5">
        <f t="shared" si="7"/>
        <v>403.66999999999996</v>
      </c>
    </row>
    <row r="37" spans="1:15" ht="12" customHeight="1" x14ac:dyDescent="0.25">
      <c r="A37" s="3" t="s">
        <v>51</v>
      </c>
      <c r="B37" s="3"/>
      <c r="C37" s="4">
        <v>103.5</v>
      </c>
      <c r="D37" s="4"/>
      <c r="E37" s="5"/>
      <c r="F37" s="4"/>
      <c r="G37" s="4"/>
      <c r="H37" s="4"/>
      <c r="I37" s="4"/>
      <c r="J37" s="4"/>
      <c r="K37" s="4"/>
      <c r="L37" s="4"/>
      <c r="M37" s="4"/>
      <c r="O37" s="5">
        <f t="shared" si="7"/>
        <v>103.5</v>
      </c>
    </row>
    <row r="38" spans="1:15" ht="12" customHeight="1" x14ac:dyDescent="0.25">
      <c r="A38" s="3" t="s">
        <v>23</v>
      </c>
      <c r="B38" s="3"/>
      <c r="C38" s="5">
        <v>123.75</v>
      </c>
      <c r="D38" s="5">
        <v>180</v>
      </c>
      <c r="E38" s="5">
        <v>90</v>
      </c>
      <c r="F38" s="5">
        <v>180</v>
      </c>
      <c r="G38" s="5">
        <v>191.25</v>
      </c>
      <c r="H38" s="5">
        <f>101.25+30.9</f>
        <v>132.15</v>
      </c>
      <c r="I38" s="5"/>
      <c r="J38" s="5"/>
      <c r="K38" s="5"/>
      <c r="L38" s="5"/>
      <c r="M38" s="5"/>
      <c r="N38" s="5"/>
      <c r="O38" s="9">
        <f t="shared" si="7"/>
        <v>897.15</v>
      </c>
    </row>
    <row r="39" spans="1:15" s="49" customFormat="1" ht="12" customHeight="1" x14ac:dyDescent="0.25">
      <c r="A39" s="3" t="s">
        <v>62</v>
      </c>
      <c r="B39" s="3"/>
      <c r="C39" s="5"/>
      <c r="D39" s="5"/>
      <c r="E39" s="5"/>
      <c r="F39" s="5"/>
      <c r="G39" s="5">
        <v>560.63</v>
      </c>
      <c r="H39" s="5"/>
      <c r="I39" s="5"/>
      <c r="J39" s="5"/>
      <c r="K39" s="5"/>
      <c r="L39" s="5"/>
      <c r="M39" s="5"/>
      <c r="N39" s="5"/>
      <c r="O39" s="50"/>
    </row>
    <row r="40" spans="1:15" ht="12" customHeight="1" x14ac:dyDescent="0.25">
      <c r="A40" s="3" t="s">
        <v>24</v>
      </c>
      <c r="B40" s="3"/>
      <c r="C40" s="6">
        <f>+C20+C21+C22+C23+C24+C28+C29+C30+C31+C32+C33+C34+C35+C36+C37+C38+C39</f>
        <v>1348.58</v>
      </c>
      <c r="D40" s="6">
        <f t="shared" ref="D40:N40" si="8">+D20+D21+D22+D23+D24+D28+D29+D30+D31+D32+D33+D34+D35+D36+D37+D38+D39</f>
        <v>1989.35</v>
      </c>
      <c r="E40" s="6">
        <f t="shared" si="8"/>
        <v>2270.3000000000002</v>
      </c>
      <c r="F40" s="6">
        <f t="shared" si="8"/>
        <v>2824.5099999999998</v>
      </c>
      <c r="G40" s="6">
        <f t="shared" si="8"/>
        <v>3618.4699999999993</v>
      </c>
      <c r="H40" s="6">
        <f t="shared" si="8"/>
        <v>1174.5800000000002</v>
      </c>
      <c r="I40" s="6">
        <f t="shared" si="8"/>
        <v>0</v>
      </c>
      <c r="J40" s="6">
        <f t="shared" si="8"/>
        <v>0</v>
      </c>
      <c r="K40" s="6">
        <f t="shared" si="8"/>
        <v>0</v>
      </c>
      <c r="L40" s="6">
        <f t="shared" si="8"/>
        <v>0</v>
      </c>
      <c r="M40" s="6">
        <f t="shared" si="8"/>
        <v>0</v>
      </c>
      <c r="N40" s="6">
        <f t="shared" si="8"/>
        <v>0</v>
      </c>
      <c r="O40" s="8">
        <f t="shared" si="7"/>
        <v>13225.789999999999</v>
      </c>
    </row>
    <row r="41" spans="1:15" ht="12" customHeight="1" x14ac:dyDescent="0.25">
      <c r="A41" s="3" t="s">
        <v>25</v>
      </c>
      <c r="B41" s="3"/>
      <c r="C41" s="6">
        <f t="shared" ref="C41" si="9">C40</f>
        <v>1348.58</v>
      </c>
      <c r="D41" s="6">
        <f t="shared" ref="D41:N41" si="10">D40</f>
        <v>1989.35</v>
      </c>
      <c r="E41" s="6">
        <f t="shared" si="10"/>
        <v>2270.3000000000002</v>
      </c>
      <c r="F41" s="6">
        <f t="shared" si="10"/>
        <v>2824.5099999999998</v>
      </c>
      <c r="G41" s="6">
        <f t="shared" si="10"/>
        <v>3618.4699999999993</v>
      </c>
      <c r="H41" s="6">
        <f t="shared" si="10"/>
        <v>1174.5800000000002</v>
      </c>
      <c r="I41" s="6">
        <f t="shared" si="10"/>
        <v>0</v>
      </c>
      <c r="J41" s="6">
        <f t="shared" si="10"/>
        <v>0</v>
      </c>
      <c r="K41" s="6">
        <f t="shared" si="10"/>
        <v>0</v>
      </c>
      <c r="L41" s="6">
        <f t="shared" si="10"/>
        <v>0</v>
      </c>
      <c r="M41" s="6">
        <f t="shared" si="10"/>
        <v>0</v>
      </c>
      <c r="N41" s="6">
        <f t="shared" si="10"/>
        <v>0</v>
      </c>
      <c r="O41" s="8">
        <f t="shared" si="7"/>
        <v>13225.789999999999</v>
      </c>
    </row>
    <row r="42" spans="1:15" ht="12" customHeight="1" x14ac:dyDescent="0.25">
      <c r="A42" s="3" t="s">
        <v>26</v>
      </c>
      <c r="B42" s="3"/>
      <c r="C42" s="6">
        <f t="shared" ref="C42" si="11">(((C17)-(C41))+(0))-(0)</f>
        <v>1036.5355</v>
      </c>
      <c r="D42" s="6">
        <f t="shared" ref="D42:N42" si="12">(((D17)-(D41))+(0))-(0)</f>
        <v>521.34999999999991</v>
      </c>
      <c r="E42" s="6">
        <f t="shared" si="12"/>
        <v>369.09999999999991</v>
      </c>
      <c r="F42" s="6">
        <f t="shared" si="12"/>
        <v>4046.69</v>
      </c>
      <c r="G42" s="6">
        <f t="shared" si="12"/>
        <v>1428.7300000000014</v>
      </c>
      <c r="H42" s="6">
        <f t="shared" si="12"/>
        <v>608.13999999999987</v>
      </c>
      <c r="I42" s="6">
        <f t="shared" si="12"/>
        <v>0</v>
      </c>
      <c r="J42" s="6">
        <f t="shared" si="12"/>
        <v>0</v>
      </c>
      <c r="K42" s="6">
        <f t="shared" si="12"/>
        <v>0</v>
      </c>
      <c r="L42" s="6">
        <f t="shared" si="12"/>
        <v>0</v>
      </c>
      <c r="M42" s="6">
        <f t="shared" si="12"/>
        <v>0</v>
      </c>
      <c r="N42" s="6">
        <f t="shared" si="12"/>
        <v>0</v>
      </c>
      <c r="O42" s="8">
        <f t="shared" si="7"/>
        <v>8010.5455000000002</v>
      </c>
    </row>
    <row r="43" spans="1:15" ht="12" customHeight="1" x14ac:dyDescent="0.25">
      <c r="A43" s="3"/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4"/>
    </row>
    <row r="44" spans="1:15" ht="12" customHeight="1" x14ac:dyDescent="0.25">
      <c r="A44" s="10" t="s">
        <v>46</v>
      </c>
      <c r="B44" s="10"/>
      <c r="C44" s="11"/>
      <c r="D44" s="11"/>
      <c r="E44" s="11"/>
      <c r="F44" s="11"/>
      <c r="G44" s="12"/>
      <c r="H44" s="12"/>
      <c r="I44" s="12"/>
      <c r="J44" s="12"/>
      <c r="K44" s="12"/>
      <c r="L44" s="12"/>
      <c r="M44" s="12"/>
      <c r="N44" s="12"/>
      <c r="O44" s="13"/>
    </row>
    <row r="45" spans="1:15" ht="12" customHeight="1" x14ac:dyDescent="0.25">
      <c r="A45" s="14" t="s">
        <v>27</v>
      </c>
      <c r="B45" s="15" t="s">
        <v>28</v>
      </c>
      <c r="C45" s="16">
        <f t="shared" ref="C45:H45" si="13">+C10/C49</f>
        <v>49.337208102818806</v>
      </c>
      <c r="D45" s="16">
        <f t="shared" si="13"/>
        <v>39.529822501502103</v>
      </c>
      <c r="E45" s="16">
        <f t="shared" si="13"/>
        <v>38.583019385430703</v>
      </c>
      <c r="F45" s="16">
        <f t="shared" si="13"/>
        <v>96.473335550025737</v>
      </c>
      <c r="G45" s="16">
        <f t="shared" si="13"/>
        <v>74.996436793001649</v>
      </c>
      <c r="H45" s="16">
        <f t="shared" si="13"/>
        <v>38.736955625691245</v>
      </c>
      <c r="I45" s="16"/>
      <c r="J45" s="16"/>
      <c r="K45" s="16"/>
      <c r="L45" s="16"/>
      <c r="M45" s="16"/>
      <c r="N45" s="16"/>
      <c r="O45" s="17">
        <f>SUM(C45:N45)</f>
        <v>337.65677795847023</v>
      </c>
    </row>
    <row r="46" spans="1:15" ht="12" customHeight="1" x14ac:dyDescent="0.25">
      <c r="A46" s="18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12"/>
      <c r="O46" s="13"/>
    </row>
    <row r="47" spans="1:15" ht="12" customHeight="1" x14ac:dyDescent="0.25">
      <c r="A47" s="14" t="s">
        <v>55</v>
      </c>
      <c r="B47" s="15" t="s">
        <v>29</v>
      </c>
      <c r="C47" s="16">
        <f>+'100% 9-30'!C47*0.15</f>
        <v>1.9049999999999998</v>
      </c>
      <c r="D47" s="16">
        <f>+'100% 9-30'!D47*0.15</f>
        <v>2.13</v>
      </c>
      <c r="E47" s="16">
        <f>+'100% 9-30'!E47*0.15</f>
        <v>2.2949999999999999</v>
      </c>
      <c r="F47" s="16">
        <f>+'100% 9-30'!F47*0.15</f>
        <v>2.25</v>
      </c>
      <c r="G47" s="16">
        <f>+'100% 9-30'!G47*0.15</f>
        <v>2.355</v>
      </c>
      <c r="H47" s="16">
        <f>+'100% 9-30'!H47*0.15</f>
        <v>2.2949999999999999</v>
      </c>
      <c r="I47" s="16"/>
      <c r="J47" s="16"/>
      <c r="K47" s="16"/>
      <c r="L47" s="16"/>
      <c r="M47" s="16"/>
      <c r="N47" s="45"/>
      <c r="O47" s="17">
        <f>SUM(C47:N47)/6</f>
        <v>2.2050000000000001</v>
      </c>
    </row>
    <row r="48" spans="1:15" ht="12" customHeight="1" x14ac:dyDescent="0.25">
      <c r="A48" s="18"/>
      <c r="B48" s="10"/>
      <c r="C48" s="21"/>
      <c r="D48" s="11"/>
      <c r="E48" s="11"/>
      <c r="F48" s="11"/>
      <c r="G48" s="12"/>
      <c r="H48" s="12"/>
      <c r="I48" s="12"/>
      <c r="J48" s="12"/>
      <c r="K48" s="12"/>
      <c r="L48" s="12"/>
      <c r="M48" s="12"/>
      <c r="N48" s="12"/>
      <c r="O48" s="22"/>
    </row>
    <row r="49" spans="1:15" ht="12" customHeight="1" x14ac:dyDescent="0.25">
      <c r="A49" s="14" t="s">
        <v>27</v>
      </c>
      <c r="B49" s="15" t="s">
        <v>30</v>
      </c>
      <c r="C49" s="20">
        <f>304.03/6.289</f>
        <v>48.343138813801872</v>
      </c>
      <c r="D49" s="23">
        <f>399.44/6.289</f>
        <v>63.514072189537288</v>
      </c>
      <c r="E49" s="23">
        <f>430.22/6.289</f>
        <v>68.408332008268417</v>
      </c>
      <c r="F49" s="23">
        <f>466.16/6.289</f>
        <v>74.123072030529499</v>
      </c>
      <c r="G49" s="24">
        <f>464.11/6.289</f>
        <v>73.79710605819686</v>
      </c>
      <c r="H49" s="24">
        <f>370.71/6.289</f>
        <v>58.945778343138812</v>
      </c>
      <c r="I49" s="24"/>
      <c r="J49" s="24"/>
      <c r="K49" s="24"/>
      <c r="L49" s="24"/>
      <c r="M49" s="24"/>
      <c r="N49" s="48"/>
      <c r="O49" s="17">
        <f>SUM(C49:N49)/6</f>
        <v>64.521916573912122</v>
      </c>
    </row>
    <row r="50" spans="1:15" ht="12" customHeight="1" x14ac:dyDescent="0.25">
      <c r="A50" s="18"/>
      <c r="B50" s="10"/>
      <c r="C50" s="25"/>
      <c r="D50" s="26"/>
      <c r="E50" s="26"/>
      <c r="F50" s="26"/>
      <c r="O50" s="27"/>
    </row>
    <row r="51" spans="1:15" ht="12" customHeight="1" x14ac:dyDescent="0.25">
      <c r="A51" s="14" t="s">
        <v>31</v>
      </c>
      <c r="B51" s="15" t="s">
        <v>32</v>
      </c>
      <c r="C51" s="28">
        <f>+C12</f>
        <v>2385.1154999999999</v>
      </c>
      <c r="D51" s="28">
        <f>+D12</f>
        <v>2510.6999999999998</v>
      </c>
      <c r="E51" s="28">
        <f t="shared" ref="E51:H51" si="14">+E12</f>
        <v>2639.4</v>
      </c>
      <c r="F51" s="28">
        <f t="shared" si="14"/>
        <v>7150.9</v>
      </c>
      <c r="G51" s="28">
        <f t="shared" si="14"/>
        <v>5534.52</v>
      </c>
      <c r="H51" s="28">
        <f t="shared" si="14"/>
        <v>2283.38</v>
      </c>
      <c r="I51" s="28"/>
      <c r="J51" s="28"/>
      <c r="K51" s="28"/>
      <c r="L51" s="28"/>
      <c r="M51" s="28"/>
      <c r="N51" s="28"/>
      <c r="O51" s="29">
        <f>SUM(C51:N51)</f>
        <v>22504.015500000001</v>
      </c>
    </row>
    <row r="52" spans="1:15" ht="12" customHeight="1" x14ac:dyDescent="0.25">
      <c r="A52" s="14" t="s">
        <v>33</v>
      </c>
      <c r="B52" s="15" t="s">
        <v>32</v>
      </c>
      <c r="C52" s="28">
        <f>+C14</f>
        <v>0</v>
      </c>
      <c r="D52" s="28">
        <f>+D14</f>
        <v>0</v>
      </c>
      <c r="E52" s="28">
        <f t="shared" ref="E52:H52" si="15">+E14</f>
        <v>0</v>
      </c>
      <c r="F52" s="28">
        <f t="shared" si="15"/>
        <v>-279.7</v>
      </c>
      <c r="G52" s="28">
        <f t="shared" si="15"/>
        <v>-487.32</v>
      </c>
      <c r="H52" s="28">
        <f t="shared" si="15"/>
        <v>-500.66</v>
      </c>
      <c r="I52" s="28"/>
      <c r="J52" s="28"/>
      <c r="K52" s="28"/>
      <c r="L52" s="28"/>
      <c r="M52" s="28"/>
      <c r="N52" s="28"/>
      <c r="O52" s="29">
        <f>SUM(C52:N52)</f>
        <v>-1267.68</v>
      </c>
    </row>
    <row r="53" spans="1:15" ht="12" customHeight="1" x14ac:dyDescent="0.25">
      <c r="A53" s="14" t="s">
        <v>34</v>
      </c>
      <c r="B53" s="15" t="s">
        <v>32</v>
      </c>
      <c r="C53" s="28">
        <f>+C40</f>
        <v>1348.58</v>
      </c>
      <c r="D53" s="28">
        <f>+D40</f>
        <v>1989.35</v>
      </c>
      <c r="E53" s="28">
        <f t="shared" ref="E53:H53" si="16">+E40</f>
        <v>2270.3000000000002</v>
      </c>
      <c r="F53" s="28">
        <f t="shared" si="16"/>
        <v>2824.5099999999998</v>
      </c>
      <c r="G53" s="28">
        <f t="shared" si="16"/>
        <v>3618.4699999999993</v>
      </c>
      <c r="H53" s="28">
        <f t="shared" si="16"/>
        <v>1174.5800000000002</v>
      </c>
      <c r="I53" s="28"/>
      <c r="J53" s="28"/>
      <c r="K53" s="28"/>
      <c r="L53" s="28"/>
      <c r="M53" s="28"/>
      <c r="N53" s="28"/>
      <c r="O53" s="29">
        <f>SUM(C53:N53)</f>
        <v>13225.789999999999</v>
      </c>
    </row>
    <row r="54" spans="1:15" ht="12" customHeight="1" x14ac:dyDescent="0.25">
      <c r="A54" s="18" t="s">
        <v>31</v>
      </c>
      <c r="B54" s="19" t="s">
        <v>30</v>
      </c>
      <c r="C54" s="30">
        <f>+C51/C45</f>
        <v>48.343138813801872</v>
      </c>
      <c r="D54" s="30">
        <f>+D51/D45</f>
        <v>63.514072189537281</v>
      </c>
      <c r="E54" s="30">
        <f t="shared" ref="E54:H54" si="17">+E51/E45</f>
        <v>68.408332008268417</v>
      </c>
      <c r="F54" s="30">
        <f t="shared" si="17"/>
        <v>74.123072030529499</v>
      </c>
      <c r="G54" s="30">
        <f t="shared" si="17"/>
        <v>73.79710605819686</v>
      </c>
      <c r="H54" s="30">
        <f t="shared" si="17"/>
        <v>58.945778343138812</v>
      </c>
      <c r="I54" s="30"/>
      <c r="J54" s="30"/>
      <c r="K54" s="30"/>
      <c r="L54" s="30"/>
      <c r="M54" s="30"/>
      <c r="N54" s="30"/>
      <c r="O54" s="31">
        <f t="shared" ref="O54:O62" si="18">SUM(C54:N54)/6</f>
        <v>64.521916573912122</v>
      </c>
    </row>
    <row r="55" spans="1:15" ht="12" customHeight="1" x14ac:dyDescent="0.25">
      <c r="A55" s="14" t="s">
        <v>33</v>
      </c>
      <c r="B55" s="15" t="s">
        <v>30</v>
      </c>
      <c r="C55" s="32">
        <f>+C52/C45</f>
        <v>0</v>
      </c>
      <c r="D55" s="32">
        <f>+D52/D45</f>
        <v>0</v>
      </c>
      <c r="E55" s="32">
        <f t="shared" ref="E55:H55" si="19">+E52/E45</f>
        <v>0</v>
      </c>
      <c r="F55" s="32">
        <f t="shared" si="19"/>
        <v>-2.8992467027841391</v>
      </c>
      <c r="G55" s="32">
        <f t="shared" si="19"/>
        <v>-6.4979087119172929</v>
      </c>
      <c r="H55" s="32">
        <f t="shared" si="19"/>
        <v>-12.924608862859392</v>
      </c>
      <c r="I55" s="32"/>
      <c r="J55" s="32"/>
      <c r="K55" s="32"/>
      <c r="L55" s="32"/>
      <c r="M55" s="32"/>
      <c r="N55" s="32"/>
      <c r="O55" s="33">
        <f t="shared" si="18"/>
        <v>-3.7202940462601375</v>
      </c>
    </row>
    <row r="56" spans="1:15" ht="12" customHeight="1" x14ac:dyDescent="0.25">
      <c r="A56" s="14" t="s">
        <v>34</v>
      </c>
      <c r="B56" s="15" t="s">
        <v>30</v>
      </c>
      <c r="C56" s="32">
        <f>+C53/C45</f>
        <v>27.333934202145315</v>
      </c>
      <c r="D56" s="32">
        <f>+D53/D45</f>
        <v>50.325295539194649</v>
      </c>
      <c r="E56" s="32">
        <f t="shared" ref="E56:H56" si="20">+E53/E45</f>
        <v>58.841947472293626</v>
      </c>
      <c r="F56" s="32">
        <f t="shared" si="20"/>
        <v>29.277623541225701</v>
      </c>
      <c r="G56" s="32">
        <f t="shared" si="20"/>
        <v>48.24855892803776</v>
      </c>
      <c r="H56" s="32">
        <f t="shared" si="20"/>
        <v>30.321949183352746</v>
      </c>
      <c r="I56" s="32"/>
      <c r="J56" s="32"/>
      <c r="K56" s="32"/>
      <c r="L56" s="32"/>
      <c r="M56" s="32"/>
      <c r="N56" s="32"/>
      <c r="O56" s="34">
        <f t="shared" si="18"/>
        <v>40.724884811041633</v>
      </c>
    </row>
    <row r="57" spans="1:15" ht="12" customHeight="1" x14ac:dyDescent="0.25">
      <c r="A57" s="18" t="s">
        <v>35</v>
      </c>
      <c r="B57" s="19" t="s">
        <v>30</v>
      </c>
      <c r="C57" s="30">
        <f>+C54+C55-C56</f>
        <v>21.009204611656557</v>
      </c>
      <c r="D57" s="30">
        <f>+D54+D55-D56</f>
        <v>13.188776650342632</v>
      </c>
      <c r="E57" s="30">
        <f t="shared" ref="E57:H57" si="21">+E54+E55-E56</f>
        <v>9.566384535974791</v>
      </c>
      <c r="F57" s="30">
        <f t="shared" si="21"/>
        <v>41.946201786519659</v>
      </c>
      <c r="G57" s="30">
        <f t="shared" si="21"/>
        <v>19.05063841824181</v>
      </c>
      <c r="H57" s="30">
        <f t="shared" si="21"/>
        <v>15.699220296926672</v>
      </c>
      <c r="I57" s="30"/>
      <c r="J57" s="30"/>
      <c r="K57" s="30"/>
      <c r="L57" s="30"/>
      <c r="M57" s="30"/>
      <c r="N57" s="30"/>
      <c r="O57" s="31">
        <f t="shared" si="18"/>
        <v>20.076737716610356</v>
      </c>
    </row>
    <row r="58" spans="1:15" ht="12" customHeight="1" x14ac:dyDescent="0.25">
      <c r="A58" s="18" t="s">
        <v>36</v>
      </c>
      <c r="B58" s="35" t="s">
        <v>37</v>
      </c>
      <c r="C58" s="30">
        <f>-C14/C10*100</f>
        <v>0</v>
      </c>
      <c r="D58" s="30">
        <f>-D14/D10*100</f>
        <v>0</v>
      </c>
      <c r="E58" s="30">
        <f t="shared" ref="E58:H58" si="22">-E14/E10*100</f>
        <v>0</v>
      </c>
      <c r="F58" s="30">
        <f t="shared" si="22"/>
        <v>3.9113957683648213</v>
      </c>
      <c r="G58" s="30">
        <f t="shared" si="22"/>
        <v>8.805099629236139</v>
      </c>
      <c r="H58" s="30">
        <f t="shared" si="22"/>
        <v>21.926267200378387</v>
      </c>
      <c r="I58" s="30"/>
      <c r="J58" s="30"/>
      <c r="K58" s="30"/>
      <c r="L58" s="30"/>
      <c r="M58" s="30"/>
      <c r="N58" s="30"/>
      <c r="O58" s="31">
        <f t="shared" si="18"/>
        <v>5.7737937663298915</v>
      </c>
    </row>
    <row r="59" spans="1:15" ht="12" customHeight="1" x14ac:dyDescent="0.25">
      <c r="A59" s="14" t="s">
        <v>38</v>
      </c>
      <c r="B59" s="36" t="s">
        <v>37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/>
      <c r="J59" s="32"/>
      <c r="K59" s="32"/>
      <c r="L59" s="32"/>
      <c r="M59" s="32"/>
      <c r="N59" s="32"/>
      <c r="O59" s="34">
        <f t="shared" si="18"/>
        <v>0</v>
      </c>
    </row>
    <row r="60" spans="1:15" ht="12" customHeight="1" x14ac:dyDescent="0.25">
      <c r="A60" s="18" t="s">
        <v>39</v>
      </c>
      <c r="B60" s="35" t="s">
        <v>37</v>
      </c>
      <c r="C60" s="30">
        <f>+C52/C51*100</f>
        <v>0</v>
      </c>
      <c r="D60" s="30">
        <f>+D52/D51*100</f>
        <v>0</v>
      </c>
      <c r="E60" s="30">
        <f t="shared" ref="E60:H60" si="23">+E52/E51*100</f>
        <v>0</v>
      </c>
      <c r="F60" s="30">
        <f t="shared" si="23"/>
        <v>-3.9113957683648213</v>
      </c>
      <c r="G60" s="30">
        <f t="shared" si="23"/>
        <v>-8.805099629236139</v>
      </c>
      <c r="H60" s="30">
        <f t="shared" si="23"/>
        <v>-21.926267200378387</v>
      </c>
      <c r="I60" s="30"/>
      <c r="J60" s="30"/>
      <c r="K60" s="30"/>
      <c r="L60" s="30"/>
      <c r="M60" s="30"/>
      <c r="N60" s="30"/>
      <c r="O60" s="31">
        <f t="shared" si="18"/>
        <v>-5.7737937663298915</v>
      </c>
    </row>
    <row r="61" spans="1:15" ht="12" customHeight="1" x14ac:dyDescent="0.25">
      <c r="A61" s="14" t="s">
        <v>40</v>
      </c>
      <c r="B61" s="36" t="s">
        <v>37</v>
      </c>
      <c r="C61" s="32">
        <f>C53/C51*100</f>
        <v>56.541496627731448</v>
      </c>
      <c r="D61" s="32">
        <f>D53/D51*100</f>
        <v>79.23487473612937</v>
      </c>
      <c r="E61" s="32">
        <f t="shared" ref="E61:H61" si="24">E53/E51*100</f>
        <v>86.015761157838909</v>
      </c>
      <c r="F61" s="32">
        <f t="shared" si="24"/>
        <v>39.498664503768751</v>
      </c>
      <c r="G61" s="32">
        <f t="shared" si="24"/>
        <v>65.38001488837331</v>
      </c>
      <c r="H61" s="32">
        <f t="shared" si="24"/>
        <v>51.440408517198186</v>
      </c>
      <c r="I61" s="32"/>
      <c r="J61" s="32"/>
      <c r="K61" s="32"/>
      <c r="L61" s="32"/>
      <c r="M61" s="32"/>
      <c r="N61" s="32"/>
      <c r="O61" s="33">
        <f t="shared" si="18"/>
        <v>63.018536738506661</v>
      </c>
    </row>
    <row r="62" spans="1:15" ht="12" customHeight="1" x14ac:dyDescent="0.25">
      <c r="A62" s="37" t="s">
        <v>41</v>
      </c>
      <c r="B62" s="38" t="s">
        <v>37</v>
      </c>
      <c r="C62" s="39">
        <f>C53/(C51+C52)*100</f>
        <v>56.541496627731448</v>
      </c>
      <c r="D62" s="39">
        <f>D53/(D51+D52)*100</f>
        <v>79.23487473612937</v>
      </c>
      <c r="E62" s="39">
        <f t="shared" ref="E62:H62" si="25">E53/(E51+E52)*100</f>
        <v>86.015761157838909</v>
      </c>
      <c r="F62" s="39">
        <f t="shared" si="25"/>
        <v>41.106502503201767</v>
      </c>
      <c r="G62" s="39">
        <f t="shared" si="25"/>
        <v>71.692621651608789</v>
      </c>
      <c r="H62" s="39">
        <f t="shared" si="25"/>
        <v>65.886959253275904</v>
      </c>
      <c r="I62" s="39"/>
      <c r="J62" s="39"/>
      <c r="K62" s="39"/>
      <c r="L62" s="39"/>
      <c r="M62" s="39"/>
      <c r="N62" s="39"/>
      <c r="O62" s="34">
        <f t="shared" si="18"/>
        <v>66.746369321631036</v>
      </c>
    </row>
  </sheetData>
  <mergeCells count="3">
    <mergeCell ref="A1:O1"/>
    <mergeCell ref="A2:O2"/>
    <mergeCell ref="A3:O3"/>
  </mergeCells>
  <printOptions horizontalCentered="1" verticalCentered="1"/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topLeftCell="A22" workbookViewId="0">
      <selection activeCell="O61" sqref="O61"/>
    </sheetView>
  </sheetViews>
  <sheetFormatPr defaultRowHeight="15" x14ac:dyDescent="0.25"/>
  <cols>
    <col min="1" max="1" width="30.140625" style="49" customWidth="1"/>
    <col min="2" max="2" width="7.5703125" style="49" customWidth="1"/>
    <col min="3" max="5" width="9.5703125" style="49" bestFit="1" customWidth="1"/>
    <col min="6" max="13" width="9.42578125" style="49" customWidth="1"/>
    <col min="14" max="14" width="10.42578125" style="49" bestFit="1" customWidth="1"/>
    <col min="15" max="15" width="13.140625" style="49" bestFit="1" customWidth="1"/>
    <col min="16" max="16384" width="9.140625" style="49"/>
  </cols>
  <sheetData>
    <row r="1" spans="1:15" ht="18" x14ac:dyDescent="0.25">
      <c r="A1" s="51" t="s">
        <v>0</v>
      </c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8" x14ac:dyDescent="0.25">
      <c r="A2" s="51" t="s">
        <v>56</v>
      </c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5">
      <c r="A3" s="53" t="s">
        <v>59</v>
      </c>
      <c r="B3" s="53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5" spans="1:15" ht="12" customHeight="1" x14ac:dyDescent="0.25">
      <c r="A5" s="1"/>
      <c r="B5" s="1"/>
      <c r="C5" s="40">
        <v>43466</v>
      </c>
      <c r="D5" s="40">
        <v>43514</v>
      </c>
      <c r="E5" s="40">
        <v>43542</v>
      </c>
      <c r="F5" s="40">
        <v>43573</v>
      </c>
      <c r="G5" s="40">
        <v>43603</v>
      </c>
      <c r="H5" s="40">
        <v>43634</v>
      </c>
      <c r="I5" s="40">
        <v>43664</v>
      </c>
      <c r="J5" s="40">
        <v>43695</v>
      </c>
      <c r="K5" s="40">
        <v>43726</v>
      </c>
      <c r="L5" s="40">
        <v>43756</v>
      </c>
      <c r="M5" s="40">
        <v>43787</v>
      </c>
      <c r="N5" s="40">
        <v>43817</v>
      </c>
      <c r="O5" s="2" t="s">
        <v>1</v>
      </c>
    </row>
    <row r="6" spans="1:15" ht="12" customHeight="1" x14ac:dyDescent="0.25">
      <c r="A6" s="3" t="s">
        <v>2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O6" s="4"/>
    </row>
    <row r="7" spans="1:15" ht="12" customHeight="1" x14ac:dyDescent="0.25">
      <c r="A7" s="3" t="s">
        <v>3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O7" s="5"/>
    </row>
    <row r="8" spans="1:15" ht="12" customHeight="1" x14ac:dyDescent="0.25">
      <c r="A8" s="3" t="s">
        <v>54</v>
      </c>
      <c r="B8" s="3"/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/>
      <c r="J8" s="4"/>
      <c r="K8" s="4"/>
      <c r="L8" s="4"/>
      <c r="M8" s="4"/>
      <c r="N8" s="4"/>
      <c r="O8" s="5">
        <f>SUM(C8:N8)</f>
        <v>0</v>
      </c>
    </row>
    <row r="9" spans="1:15" ht="12" customHeight="1" x14ac:dyDescent="0.25">
      <c r="A9" s="3" t="s">
        <v>4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O9" s="5"/>
    </row>
    <row r="10" spans="1:15" ht="12" customHeight="1" x14ac:dyDescent="0.25">
      <c r="A10" s="3" t="s">
        <v>5</v>
      </c>
      <c r="B10" s="3"/>
      <c r="C10" s="5">
        <f>+'15% 9-30'!C10/0.15</f>
        <v>15900.77</v>
      </c>
      <c r="D10" s="5">
        <f>+'15% 9-30'!D10/0.15</f>
        <v>16738</v>
      </c>
      <c r="E10" s="5">
        <f>+'15% 9-30'!E10/0.15</f>
        <v>17596</v>
      </c>
      <c r="F10" s="5">
        <f>+'15% 9-30'!F10/0.15</f>
        <v>47672.666666666664</v>
      </c>
      <c r="G10" s="5">
        <f>+'15% 9-30'!G10/0.15</f>
        <v>36896.800000000003</v>
      </c>
      <c r="H10" s="5">
        <f>+'15% 9-30'!H10/0.15</f>
        <v>15222.533333333335</v>
      </c>
      <c r="I10" s="5"/>
      <c r="J10" s="5"/>
      <c r="K10" s="5"/>
      <c r="L10" s="5"/>
      <c r="M10" s="5"/>
      <c r="N10" s="44"/>
      <c r="O10" s="5">
        <f>SUM(C10:N10)</f>
        <v>150026.77000000002</v>
      </c>
    </row>
    <row r="11" spans="1:15" ht="12" customHeight="1" x14ac:dyDescent="0.25">
      <c r="A11" s="3" t="s">
        <v>6</v>
      </c>
      <c r="B11" s="3"/>
      <c r="C11" s="6">
        <f t="shared" ref="C11:N11" si="0">(C9)+(C10)</f>
        <v>15900.77</v>
      </c>
      <c r="D11" s="6">
        <f t="shared" si="0"/>
        <v>16738</v>
      </c>
      <c r="E11" s="6">
        <f t="shared" si="0"/>
        <v>17596</v>
      </c>
      <c r="F11" s="6">
        <f t="shared" si="0"/>
        <v>47672.666666666664</v>
      </c>
      <c r="G11" s="6">
        <f t="shared" si="0"/>
        <v>36896.800000000003</v>
      </c>
      <c r="H11" s="6">
        <f t="shared" si="0"/>
        <v>15222.533333333335</v>
      </c>
      <c r="I11" s="6">
        <f t="shared" si="0"/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6">
        <f t="shared" si="0"/>
        <v>0</v>
      </c>
      <c r="N11" s="6">
        <f t="shared" si="0"/>
        <v>0</v>
      </c>
      <c r="O11" s="7">
        <f>SUM(C11:N11)</f>
        <v>150026.77000000002</v>
      </c>
    </row>
    <row r="12" spans="1:15" ht="12" customHeight="1" x14ac:dyDescent="0.25">
      <c r="A12" s="3" t="s">
        <v>7</v>
      </c>
      <c r="B12" s="3"/>
      <c r="C12" s="6">
        <f t="shared" ref="C12:N12" si="1">+C8+C10</f>
        <v>15900.77</v>
      </c>
      <c r="D12" s="6">
        <f t="shared" si="1"/>
        <v>16738</v>
      </c>
      <c r="E12" s="6">
        <f t="shared" si="1"/>
        <v>17596</v>
      </c>
      <c r="F12" s="6">
        <f t="shared" si="1"/>
        <v>47672.666666666664</v>
      </c>
      <c r="G12" s="6">
        <f t="shared" si="1"/>
        <v>36896.800000000003</v>
      </c>
      <c r="H12" s="6">
        <f t="shared" si="1"/>
        <v>15222.533333333335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6">
        <f t="shared" si="1"/>
        <v>0</v>
      </c>
      <c r="O12" s="8">
        <f>SUM(C12:N12)</f>
        <v>150026.77000000002</v>
      </c>
    </row>
    <row r="13" spans="1:15" ht="12" customHeight="1" x14ac:dyDescent="0.25">
      <c r="A13" s="3" t="s">
        <v>8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O13" s="5"/>
    </row>
    <row r="14" spans="1:15" ht="12" customHeight="1" x14ac:dyDescent="0.25">
      <c r="A14" s="3" t="s">
        <v>42</v>
      </c>
      <c r="B14" s="3"/>
      <c r="C14" s="5">
        <f>+'15% 9-30'!C14/0.15</f>
        <v>0</v>
      </c>
      <c r="D14" s="5">
        <f>+'15% 9-30'!D14/0.15</f>
        <v>0</v>
      </c>
      <c r="E14" s="5">
        <f>+'15% 9-30'!E14/0.15</f>
        <v>0</v>
      </c>
      <c r="F14" s="5">
        <f>+'15% 9-30'!F14/0.15</f>
        <v>-1864.6666666666667</v>
      </c>
      <c r="G14" s="5">
        <f>+'15% 9-30'!G14/0.15</f>
        <v>-3248.8</v>
      </c>
      <c r="H14" s="5">
        <f>+'15% 9-30'!H14/0.15</f>
        <v>-3337.7333333333336</v>
      </c>
      <c r="I14" s="5"/>
      <c r="J14" s="5"/>
      <c r="K14" s="5"/>
      <c r="L14" s="5"/>
      <c r="M14" s="5"/>
      <c r="N14" s="5"/>
      <c r="O14" s="9">
        <f>SUM(C14:N14)</f>
        <v>-8451.2000000000007</v>
      </c>
    </row>
    <row r="15" spans="1:15" ht="12" customHeight="1" x14ac:dyDescent="0.25">
      <c r="A15" s="3" t="s">
        <v>9</v>
      </c>
      <c r="B15" s="3"/>
      <c r="C15" s="6">
        <f t="shared" ref="C15:N15" si="2">((C13)+(C14))</f>
        <v>0</v>
      </c>
      <c r="D15" s="6">
        <f t="shared" si="2"/>
        <v>0</v>
      </c>
      <c r="E15" s="6">
        <f t="shared" si="2"/>
        <v>0</v>
      </c>
      <c r="F15" s="6">
        <f t="shared" si="2"/>
        <v>-1864.6666666666667</v>
      </c>
      <c r="G15" s="6">
        <f t="shared" si="2"/>
        <v>-3248.8</v>
      </c>
      <c r="H15" s="6">
        <f t="shared" si="2"/>
        <v>-3337.7333333333336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8">
        <f>SUM(C15:N15)</f>
        <v>-8451.2000000000007</v>
      </c>
    </row>
    <row r="16" spans="1:15" ht="12" customHeight="1" x14ac:dyDescent="0.25">
      <c r="A16" s="3" t="s">
        <v>10</v>
      </c>
      <c r="B16" s="3"/>
      <c r="C16" s="6">
        <f t="shared" ref="C16:N16" si="3">(C12)+(C15)</f>
        <v>15900.77</v>
      </c>
      <c r="D16" s="6">
        <f t="shared" si="3"/>
        <v>16738</v>
      </c>
      <c r="E16" s="6">
        <f t="shared" si="3"/>
        <v>17596</v>
      </c>
      <c r="F16" s="6">
        <f t="shared" si="3"/>
        <v>45808</v>
      </c>
      <c r="G16" s="6">
        <f t="shared" si="3"/>
        <v>33648</v>
      </c>
      <c r="H16" s="6">
        <f t="shared" si="3"/>
        <v>11884.800000000001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8">
        <f>SUM(C16:N16)</f>
        <v>141575.57</v>
      </c>
    </row>
    <row r="17" spans="1:15" ht="12" customHeight="1" x14ac:dyDescent="0.25">
      <c r="A17" s="3" t="s">
        <v>11</v>
      </c>
      <c r="B17" s="3"/>
      <c r="C17" s="6">
        <f t="shared" ref="C17:N17" si="4">(C16)-(0)</f>
        <v>15900.77</v>
      </c>
      <c r="D17" s="6">
        <f t="shared" si="4"/>
        <v>16738</v>
      </c>
      <c r="E17" s="6">
        <f t="shared" si="4"/>
        <v>17596</v>
      </c>
      <c r="F17" s="6">
        <f t="shared" si="4"/>
        <v>45808</v>
      </c>
      <c r="G17" s="6">
        <f t="shared" si="4"/>
        <v>33648</v>
      </c>
      <c r="H17" s="6">
        <f t="shared" si="4"/>
        <v>11884.800000000001</v>
      </c>
      <c r="I17" s="6">
        <f t="shared" si="4"/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8">
        <f>SUM(C17:N17)</f>
        <v>141575.57</v>
      </c>
    </row>
    <row r="18" spans="1:15" ht="12" customHeight="1" x14ac:dyDescent="0.25">
      <c r="A18" s="3" t="s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O18" s="4"/>
    </row>
    <row r="19" spans="1:15" ht="12" customHeight="1" x14ac:dyDescent="0.25">
      <c r="A19" s="3" t="s">
        <v>13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O19" s="5"/>
    </row>
    <row r="20" spans="1:15" ht="12" customHeight="1" x14ac:dyDescent="0.25">
      <c r="A20" s="3" t="s">
        <v>48</v>
      </c>
      <c r="B20" s="3"/>
      <c r="C20" s="4">
        <f>+'15% 9-30'!C20/0.15</f>
        <v>18.133333333333336</v>
      </c>
      <c r="D20" s="4">
        <f>+'15% 9-30'!D20/0.15</f>
        <v>36.533333333333339</v>
      </c>
      <c r="E20" s="4">
        <f>+'15% 9-30'!E20/0.15</f>
        <v>14.666666666666668</v>
      </c>
      <c r="F20" s="4">
        <f>+'15% 9-30'!F20/0.15</f>
        <v>18.333333333333336</v>
      </c>
      <c r="G20" s="4">
        <f>+'15% 9-30'!G20/0.15</f>
        <v>11</v>
      </c>
      <c r="H20" s="4">
        <f>+'15% 9-30'!H20/0.15</f>
        <v>0</v>
      </c>
      <c r="I20" s="4"/>
      <c r="J20" s="4"/>
      <c r="K20" s="4"/>
      <c r="L20" s="4"/>
      <c r="M20" s="4"/>
      <c r="O20" s="5">
        <f t="shared" ref="O20:O24" si="5">SUM(C20:N20)</f>
        <v>98.666666666666686</v>
      </c>
    </row>
    <row r="21" spans="1:15" ht="12" customHeight="1" x14ac:dyDescent="0.25">
      <c r="A21" s="3" t="s">
        <v>14</v>
      </c>
      <c r="B21" s="3"/>
      <c r="C21" s="4">
        <f>+'15% 9-30'!C21/0.15</f>
        <v>479.4666666666667</v>
      </c>
      <c r="D21" s="4">
        <f>+'15% 9-30'!D21/0.15</f>
        <v>980.53333333333342</v>
      </c>
      <c r="E21" s="4">
        <f>+'15% 9-30'!E21/0.15</f>
        <v>1005.8666666666667</v>
      </c>
      <c r="F21" s="4">
        <f>+'15% 9-30'!F21/0.15</f>
        <v>871.93333333333328</v>
      </c>
      <c r="G21" s="4">
        <f>+'15% 9-30'!G21/0.15</f>
        <v>1233.4000000000001</v>
      </c>
      <c r="H21" s="4">
        <f>+'15% 9-30'!H21/0.15</f>
        <v>1287.1333333333334</v>
      </c>
      <c r="I21" s="5"/>
      <c r="J21" s="4"/>
      <c r="K21" s="4"/>
      <c r="L21" s="4"/>
      <c r="M21" s="4"/>
      <c r="N21" s="4"/>
      <c r="O21" s="5">
        <f t="shared" si="5"/>
        <v>5858.3333333333339</v>
      </c>
    </row>
    <row r="22" spans="1:15" ht="12" customHeight="1" x14ac:dyDescent="0.25">
      <c r="A22" s="3" t="s">
        <v>15</v>
      </c>
      <c r="B22" s="3"/>
      <c r="C22" s="4">
        <f>+'15% 9-30'!C22/0.15</f>
        <v>1320</v>
      </c>
      <c r="D22" s="4">
        <f>+'15% 9-30'!D22/0.15</f>
        <v>2487.2666666666664</v>
      </c>
      <c r="E22" s="4">
        <f>+'15% 9-30'!E22/0.15</f>
        <v>1440</v>
      </c>
      <c r="F22" s="4">
        <f>+'15% 9-30'!F22/0.15</f>
        <v>11537.4</v>
      </c>
      <c r="G22" s="4">
        <f>+'15% 9-30'!G22/0.15</f>
        <v>2045.0666666666666</v>
      </c>
      <c r="H22" s="4">
        <f>+'15% 9-30'!H22/0.15</f>
        <v>1860</v>
      </c>
      <c r="I22" s="5"/>
      <c r="J22" s="5"/>
      <c r="K22" s="5"/>
      <c r="L22" s="5"/>
      <c r="M22" s="5"/>
      <c r="N22" s="5"/>
      <c r="O22" s="5">
        <f t="shared" si="5"/>
        <v>20689.73333333333</v>
      </c>
    </row>
    <row r="23" spans="1:15" ht="12" customHeight="1" x14ac:dyDescent="0.25">
      <c r="A23" s="3" t="s">
        <v>44</v>
      </c>
      <c r="B23" s="3"/>
      <c r="C23" s="4">
        <f>+'15% 9-30'!C23/0.15</f>
        <v>31.733333333333334</v>
      </c>
      <c r="D23" s="4">
        <f>+'15% 9-30'!D23/0.15</f>
        <v>31.933333333333334</v>
      </c>
      <c r="E23" s="4">
        <f>+'15% 9-30'!E23/0.15</f>
        <v>36.866666666666667</v>
      </c>
      <c r="F23" s="4">
        <f>+'15% 9-30'!F23/0.15</f>
        <v>102.66666666666667</v>
      </c>
      <c r="G23" s="4">
        <f>+'15% 9-30'!G23/0.15</f>
        <v>36.866666666666667</v>
      </c>
      <c r="H23" s="4">
        <f>+'15% 9-30'!H23/0.15</f>
        <v>31.933333333333334</v>
      </c>
      <c r="I23" s="5"/>
      <c r="J23" s="5"/>
      <c r="K23" s="5"/>
      <c r="L23" s="5"/>
      <c r="M23" s="5"/>
      <c r="N23" s="5"/>
      <c r="O23" s="5">
        <f t="shared" si="5"/>
        <v>272</v>
      </c>
    </row>
    <row r="24" spans="1:15" ht="12" customHeight="1" x14ac:dyDescent="0.25">
      <c r="A24" s="3" t="s">
        <v>16</v>
      </c>
      <c r="B24" s="3"/>
      <c r="C24" s="4">
        <f>+'15% 9-30'!C24/0.15</f>
        <v>2846</v>
      </c>
      <c r="D24" s="4">
        <f>+'15% 9-30'!D24/0.15</f>
        <v>6365.5333333333338</v>
      </c>
      <c r="E24" s="4">
        <f>+'15% 9-30'!E24/0.15</f>
        <v>4490.8666666666668</v>
      </c>
      <c r="F24" s="4">
        <f>+'15% 9-30'!F24/0.15</f>
        <v>1212.8</v>
      </c>
      <c r="G24" s="4">
        <f>+'15% 9-30'!G24/0.15</f>
        <v>1067.4666666666667</v>
      </c>
      <c r="H24" s="4">
        <f>+'15% 9-30'!H24/0.15</f>
        <v>303.53333333333336</v>
      </c>
      <c r="I24" s="5"/>
      <c r="J24" s="5"/>
      <c r="K24" s="5"/>
      <c r="L24" s="5"/>
      <c r="M24" s="5"/>
      <c r="N24" s="5"/>
      <c r="O24" s="5">
        <f t="shared" si="5"/>
        <v>16286.199999999999</v>
      </c>
    </row>
    <row r="25" spans="1:15" ht="12" customHeight="1" x14ac:dyDescent="0.25">
      <c r="A25" s="3" t="s">
        <v>17</v>
      </c>
      <c r="B25" s="3"/>
      <c r="C25" s="4">
        <f>+'15% 9-30'!C25/0.15</f>
        <v>0</v>
      </c>
      <c r="D25" s="4">
        <f>+'15% 9-30'!D25/0.15</f>
        <v>0</v>
      </c>
      <c r="E25" s="4">
        <f>+'15% 9-30'!E25/0.15</f>
        <v>0</v>
      </c>
      <c r="F25" s="4">
        <f>+'15% 9-30'!F25/0.15</f>
        <v>0</v>
      </c>
      <c r="G25" s="4">
        <f>+'15% 9-30'!G25/0.15</f>
        <v>0</v>
      </c>
      <c r="H25" s="4">
        <f>+'15% 9-30'!H25/0.15</f>
        <v>0</v>
      </c>
      <c r="I25" s="4"/>
      <c r="J25" s="4"/>
      <c r="K25" s="4"/>
      <c r="L25" s="4"/>
      <c r="M25" s="4"/>
      <c r="O25" s="5"/>
    </row>
    <row r="26" spans="1:15" ht="12" customHeight="1" x14ac:dyDescent="0.25">
      <c r="A26" s="3" t="s">
        <v>57</v>
      </c>
      <c r="B26" s="3"/>
      <c r="C26" s="4">
        <f>+'15% 9-30'!C26/0.15</f>
        <v>0</v>
      </c>
      <c r="D26" s="4">
        <f>+'15% 9-30'!D26/0.15</f>
        <v>0</v>
      </c>
      <c r="E26" s="4">
        <f>+'15% 9-30'!E26/0.15</f>
        <v>0</v>
      </c>
      <c r="F26" s="4">
        <f>+'15% 9-30'!F26/0.15</f>
        <v>0</v>
      </c>
      <c r="G26" s="4">
        <f>+'15% 9-30'!G26/0.15</f>
        <v>0</v>
      </c>
      <c r="H26" s="4">
        <f>+'15% 9-30'!H26/0.15</f>
        <v>0</v>
      </c>
      <c r="I26" s="4"/>
      <c r="J26" s="4"/>
      <c r="K26" s="4"/>
      <c r="L26" s="4"/>
      <c r="M26" s="4"/>
      <c r="O26" s="5">
        <f>SUM(C26:N26)</f>
        <v>0</v>
      </c>
    </row>
    <row r="27" spans="1:15" ht="12" customHeight="1" x14ac:dyDescent="0.25">
      <c r="A27" s="3" t="s">
        <v>18</v>
      </c>
      <c r="B27" s="3"/>
      <c r="C27" s="4">
        <f>+'15% 9-30'!C27/0.15</f>
        <v>0</v>
      </c>
      <c r="D27" s="4">
        <f>+'15% 9-30'!D27/0.15</f>
        <v>0</v>
      </c>
      <c r="E27" s="4">
        <f>+'15% 9-30'!E27/0.15</f>
        <v>0</v>
      </c>
      <c r="F27" s="4">
        <f>+'15% 9-30'!F27/0.15</f>
        <v>0</v>
      </c>
      <c r="G27" s="4">
        <f>+'15% 9-30'!G27/0.15</f>
        <v>0</v>
      </c>
      <c r="H27" s="4">
        <f>+'15% 9-30'!H27/0.15</f>
        <v>0</v>
      </c>
      <c r="I27" s="5"/>
      <c r="J27" s="5"/>
      <c r="K27" s="5"/>
      <c r="L27" s="5"/>
      <c r="M27" s="5"/>
      <c r="O27" s="5">
        <f>SUM(C27:N27)</f>
        <v>0</v>
      </c>
    </row>
    <row r="28" spans="1:15" ht="12" customHeight="1" x14ac:dyDescent="0.25">
      <c r="A28" s="3" t="s">
        <v>19</v>
      </c>
      <c r="B28" s="3"/>
      <c r="C28" s="6">
        <f>+C26+C27</f>
        <v>0</v>
      </c>
      <c r="D28" s="6">
        <f t="shared" ref="D28:H28" si="6">+D26+D27</f>
        <v>0</v>
      </c>
      <c r="E28" s="6">
        <f t="shared" si="6"/>
        <v>0</v>
      </c>
      <c r="F28" s="6">
        <f t="shared" si="6"/>
        <v>0</v>
      </c>
      <c r="G28" s="6">
        <f t="shared" si="6"/>
        <v>0</v>
      </c>
      <c r="H28" s="6">
        <f t="shared" si="6"/>
        <v>0</v>
      </c>
      <c r="I28" s="6">
        <f t="shared" ref="I28:N28" si="7">+I26+I27</f>
        <v>0</v>
      </c>
      <c r="J28" s="6">
        <f t="shared" si="7"/>
        <v>0</v>
      </c>
      <c r="K28" s="6">
        <f t="shared" si="7"/>
        <v>0</v>
      </c>
      <c r="L28" s="6">
        <f t="shared" si="7"/>
        <v>0</v>
      </c>
      <c r="M28" s="6">
        <f t="shared" si="7"/>
        <v>0</v>
      </c>
      <c r="N28" s="6">
        <f t="shared" si="7"/>
        <v>0</v>
      </c>
      <c r="O28" s="8">
        <f>SUM(C28:N28)</f>
        <v>0</v>
      </c>
    </row>
    <row r="29" spans="1:15" ht="12" customHeight="1" x14ac:dyDescent="0.25">
      <c r="A29" s="3" t="s">
        <v>49</v>
      </c>
      <c r="B29" s="3"/>
      <c r="C29" s="4">
        <f>+'15% 9-30'!C29/0.15</f>
        <v>0</v>
      </c>
      <c r="D29" s="4">
        <f>+'15% 9-30'!D29/0.15</f>
        <v>0</v>
      </c>
      <c r="E29" s="4">
        <f>+'15% 9-30'!E29/0.15</f>
        <v>0</v>
      </c>
      <c r="F29" s="4">
        <f>+'15% 9-30'!F29/0.15</f>
        <v>0</v>
      </c>
      <c r="G29" s="4">
        <f>+'15% 9-30'!G29/0.15</f>
        <v>1907.6666666666665</v>
      </c>
      <c r="H29" s="4">
        <f>+'15% 9-30'!H29/0.15</f>
        <v>0</v>
      </c>
      <c r="I29" s="41"/>
      <c r="J29" s="41"/>
      <c r="K29" s="41"/>
      <c r="L29" s="41"/>
      <c r="M29" s="41"/>
      <c r="O29" s="5">
        <f t="shared" ref="O29:O42" si="8">SUM(C29:N29)</f>
        <v>1907.6666666666665</v>
      </c>
    </row>
    <row r="30" spans="1:15" ht="12" customHeight="1" x14ac:dyDescent="0.25">
      <c r="A30" s="3" t="s">
        <v>20</v>
      </c>
      <c r="B30" s="3"/>
      <c r="C30" s="4">
        <f>+'15% 9-30'!C30/0.15</f>
        <v>0</v>
      </c>
      <c r="D30" s="4">
        <f>+'15% 9-30'!D30/0.15</f>
        <v>109.00000000000001</v>
      </c>
      <c r="E30" s="4">
        <f>+'15% 9-30'!E30/0.15</f>
        <v>114.53333333333333</v>
      </c>
      <c r="F30" s="4">
        <f>+'15% 9-30'!F30/0.15</f>
        <v>0</v>
      </c>
      <c r="G30" s="4">
        <f>+'15% 9-30'!G30/0.15</f>
        <v>292.86666666666667</v>
      </c>
      <c r="H30" s="4">
        <f>+'15% 9-30'!H30/0.15</f>
        <v>0</v>
      </c>
      <c r="I30" s="4"/>
      <c r="J30" s="4"/>
      <c r="K30" s="4"/>
      <c r="L30" s="4"/>
      <c r="M30" s="4"/>
      <c r="O30" s="5">
        <f t="shared" si="8"/>
        <v>516.40000000000009</v>
      </c>
    </row>
    <row r="31" spans="1:15" ht="12" customHeight="1" x14ac:dyDescent="0.25">
      <c r="A31" s="3" t="s">
        <v>50</v>
      </c>
      <c r="B31" s="3"/>
      <c r="C31" s="4">
        <f>+'15% 9-30'!C31/0.15</f>
        <v>0</v>
      </c>
      <c r="D31" s="4">
        <f>+'15% 9-30'!D31/0.15</f>
        <v>0</v>
      </c>
      <c r="E31" s="4">
        <f>+'15% 9-30'!E31/0.15</f>
        <v>0</v>
      </c>
      <c r="F31" s="4">
        <f>+'15% 9-30'!F31/0.15</f>
        <v>0</v>
      </c>
      <c r="G31" s="4">
        <f>+'15% 9-30'!G31/0.15</f>
        <v>0</v>
      </c>
      <c r="H31" s="4">
        <f>+'15% 9-30'!H31/0.15</f>
        <v>0</v>
      </c>
      <c r="I31" s="4"/>
      <c r="J31" s="4"/>
      <c r="K31" s="4"/>
      <c r="L31" s="4"/>
      <c r="M31" s="4"/>
      <c r="O31" s="5">
        <f t="shared" si="8"/>
        <v>0</v>
      </c>
    </row>
    <row r="32" spans="1:15" ht="12" customHeight="1" x14ac:dyDescent="0.25">
      <c r="A32" s="3" t="s">
        <v>45</v>
      </c>
      <c r="B32" s="3"/>
      <c r="C32" s="4">
        <f>+'15% 9-30'!C32/0.15</f>
        <v>0</v>
      </c>
      <c r="D32" s="4">
        <f>+'15% 9-30'!D32/0.15</f>
        <v>1451.5333333333333</v>
      </c>
      <c r="E32" s="4">
        <f>+'15% 9-30'!E32/0.15</f>
        <v>6797.2666666666673</v>
      </c>
      <c r="F32" s="4">
        <f>+'15% 9-30'!F32/0.15</f>
        <v>1662.8</v>
      </c>
      <c r="G32" s="4">
        <f>+'15% 9-30'!G32/0.15</f>
        <v>10512.2</v>
      </c>
      <c r="H32" s="4">
        <f>+'15% 9-30'!H32/0.15</f>
        <v>3087.4666666666667</v>
      </c>
      <c r="I32" s="4"/>
      <c r="J32" s="4"/>
      <c r="K32" s="4"/>
      <c r="L32" s="4"/>
      <c r="M32" s="4"/>
      <c r="N32" s="44"/>
      <c r="O32" s="5">
        <f t="shared" si="8"/>
        <v>23511.26666666667</v>
      </c>
    </row>
    <row r="33" spans="1:15" ht="12" customHeight="1" x14ac:dyDescent="0.25">
      <c r="A33" s="3" t="s">
        <v>21</v>
      </c>
      <c r="B33" s="3"/>
      <c r="C33" s="4">
        <f>+'15% 9-30'!C33/0.15</f>
        <v>0</v>
      </c>
      <c r="D33" s="4">
        <f>+'15% 9-30'!D33/0.15</f>
        <v>600</v>
      </c>
      <c r="E33" s="4">
        <f>+'15% 9-30'!E33/0.15</f>
        <v>0</v>
      </c>
      <c r="F33" s="4">
        <f>+'15% 9-30'!F33/0.15</f>
        <v>1140</v>
      </c>
      <c r="G33" s="4">
        <f>+'15% 9-30'!G33/0.15</f>
        <v>0</v>
      </c>
      <c r="H33" s="4">
        <f>+'15% 9-30'!H33/0.15</f>
        <v>0</v>
      </c>
      <c r="I33" s="4"/>
      <c r="J33" s="4"/>
      <c r="K33" s="4"/>
      <c r="L33" s="4"/>
      <c r="M33" s="4"/>
      <c r="O33" s="5">
        <f t="shared" si="8"/>
        <v>1740</v>
      </c>
    </row>
    <row r="34" spans="1:15" ht="12" customHeight="1" x14ac:dyDescent="0.25">
      <c r="A34" s="3" t="s">
        <v>43</v>
      </c>
      <c r="B34" s="3"/>
      <c r="C34" s="4">
        <f>+'15% 9-30'!C34/0.15</f>
        <v>415.93333333333334</v>
      </c>
      <c r="D34" s="4">
        <f>+'15% 9-30'!D34/0.15</f>
        <v>0</v>
      </c>
      <c r="E34" s="4">
        <f>+'15% 9-30'!E34/0.15</f>
        <v>675.66666666666663</v>
      </c>
      <c r="F34" s="4">
        <f>+'15% 9-30'!F34/0.15</f>
        <v>572.06666666666672</v>
      </c>
      <c r="G34" s="4">
        <f>+'15% 9-30'!G34/0.15</f>
        <v>648.86666666666667</v>
      </c>
      <c r="H34" s="4">
        <f>+'15% 9-30'!H34/0.15</f>
        <v>379.4666666666667</v>
      </c>
      <c r="I34" s="4"/>
      <c r="J34" s="4"/>
      <c r="K34" s="4"/>
      <c r="L34" s="4"/>
      <c r="M34" s="4"/>
      <c r="N34" s="4"/>
      <c r="O34" s="5">
        <f t="shared" si="8"/>
        <v>2692</v>
      </c>
    </row>
    <row r="35" spans="1:15" ht="12" customHeight="1" x14ac:dyDescent="0.25">
      <c r="A35" s="3" t="s">
        <v>58</v>
      </c>
      <c r="B35" s="3"/>
      <c r="C35" s="4">
        <f>+'15% 9-30'!C35/0.15</f>
        <v>757.5333333333333</v>
      </c>
      <c r="D35" s="4">
        <f>+'15% 9-30'!D35/0.15</f>
        <v>0</v>
      </c>
      <c r="E35" s="4">
        <f>+'15% 9-30'!E35/0.15</f>
        <v>0</v>
      </c>
      <c r="F35" s="4">
        <f>+'15% 9-30'!F35/0.15</f>
        <v>0</v>
      </c>
      <c r="G35" s="4">
        <f>+'15% 9-30'!G35/0.15</f>
        <v>742.4666666666667</v>
      </c>
      <c r="H35" s="4">
        <f>+'15% 9-30'!H35/0.15</f>
        <v>0</v>
      </c>
      <c r="I35" s="4"/>
      <c r="J35" s="4"/>
      <c r="K35" s="4"/>
      <c r="L35" s="4"/>
      <c r="M35" s="4"/>
      <c r="N35" s="4"/>
      <c r="O35" s="5">
        <f t="shared" si="8"/>
        <v>1500</v>
      </c>
    </row>
    <row r="36" spans="1:15" ht="12" customHeight="1" x14ac:dyDescent="0.25">
      <c r="A36" s="3" t="s">
        <v>22</v>
      </c>
      <c r="B36" s="3"/>
      <c r="C36" s="4">
        <f>+'15% 9-30'!C36/0.15</f>
        <v>1606.7333333333333</v>
      </c>
      <c r="D36" s="4">
        <f>+'15% 9-30'!D36/0.15</f>
        <v>0</v>
      </c>
      <c r="E36" s="4">
        <f>+'15% 9-30'!E36/0.15</f>
        <v>-40.4</v>
      </c>
      <c r="F36" s="4">
        <f>+'15% 9-30'!F36/0.15</f>
        <v>512.06666666666672</v>
      </c>
      <c r="G36" s="4">
        <f>+'15% 9-30'!G36/0.15</f>
        <v>612.73333333333335</v>
      </c>
      <c r="H36" s="4">
        <f>+'15% 9-30'!H36/0.15</f>
        <v>0</v>
      </c>
      <c r="I36" s="4"/>
      <c r="J36" s="4"/>
      <c r="K36" s="4"/>
      <c r="L36" s="4"/>
      <c r="M36" s="4"/>
      <c r="O36" s="5">
        <f t="shared" si="8"/>
        <v>2691.1333333333332</v>
      </c>
    </row>
    <row r="37" spans="1:15" ht="12" customHeight="1" x14ac:dyDescent="0.25">
      <c r="A37" s="3" t="s">
        <v>51</v>
      </c>
      <c r="B37" s="3"/>
      <c r="C37" s="4">
        <f>+'15% 9-30'!C37/0.15</f>
        <v>690</v>
      </c>
      <c r="D37" s="4">
        <f>+'15% 9-30'!D37/0.15</f>
        <v>0</v>
      </c>
      <c r="E37" s="4">
        <f>+'15% 9-30'!E37/0.15</f>
        <v>0</v>
      </c>
      <c r="F37" s="4">
        <f>+'15% 9-30'!F37/0.15</f>
        <v>0</v>
      </c>
      <c r="G37" s="4">
        <f>+'15% 9-30'!G37/0.15</f>
        <v>0</v>
      </c>
      <c r="H37" s="4">
        <f>+'15% 9-30'!H37/0.15</f>
        <v>0</v>
      </c>
      <c r="I37" s="4"/>
      <c r="J37" s="4"/>
      <c r="K37" s="4"/>
      <c r="L37" s="4"/>
      <c r="M37" s="4"/>
      <c r="O37" s="5">
        <f t="shared" si="8"/>
        <v>690</v>
      </c>
    </row>
    <row r="38" spans="1:15" ht="12" customHeight="1" x14ac:dyDescent="0.25">
      <c r="A38" s="3" t="s">
        <v>23</v>
      </c>
      <c r="B38" s="3"/>
      <c r="C38" s="4">
        <f>+'15% 9-30'!C38/0.15</f>
        <v>825</v>
      </c>
      <c r="D38" s="4">
        <f>+'15% 9-30'!D38/0.15</f>
        <v>1200</v>
      </c>
      <c r="E38" s="4">
        <f>+'15% 9-30'!E38/0.15</f>
        <v>600</v>
      </c>
      <c r="F38" s="4">
        <f>+'15% 9-30'!F38/0.15</f>
        <v>1200</v>
      </c>
      <c r="G38" s="4">
        <f>+'15% 9-30'!G38/0.15</f>
        <v>1275</v>
      </c>
      <c r="H38" s="4">
        <f>+'15% 9-30'!H38/0.15</f>
        <v>881.00000000000011</v>
      </c>
      <c r="I38" s="5"/>
      <c r="J38" s="5"/>
      <c r="K38" s="5"/>
      <c r="L38" s="5"/>
      <c r="M38" s="5"/>
      <c r="N38" s="5"/>
      <c r="O38" s="50">
        <f t="shared" si="8"/>
        <v>5981</v>
      </c>
    </row>
    <row r="39" spans="1:15" ht="12" customHeight="1" x14ac:dyDescent="0.25">
      <c r="A39" s="3" t="s">
        <v>62</v>
      </c>
      <c r="B39" s="3"/>
      <c r="C39" s="4">
        <f>+'15% 9-30'!C39/0.15</f>
        <v>0</v>
      </c>
      <c r="D39" s="4">
        <f>+'15% 9-30'!D39/0.15</f>
        <v>0</v>
      </c>
      <c r="E39" s="4">
        <f>+'15% 9-30'!E39/0.15</f>
        <v>0</v>
      </c>
      <c r="F39" s="4">
        <f>+'15% 9-30'!F39/0.15</f>
        <v>0</v>
      </c>
      <c r="G39" s="4">
        <f>+'15% 9-30'!G39/0.15</f>
        <v>3737.5333333333333</v>
      </c>
      <c r="H39" s="4">
        <f>+'15% 9-30'!H39/0.15</f>
        <v>0</v>
      </c>
      <c r="I39" s="5"/>
      <c r="J39" s="5"/>
      <c r="K39" s="5"/>
      <c r="L39" s="5"/>
      <c r="M39" s="5"/>
      <c r="N39" s="5"/>
      <c r="O39" s="9">
        <f t="shared" si="8"/>
        <v>3737.5333333333333</v>
      </c>
    </row>
    <row r="40" spans="1:15" ht="12" customHeight="1" x14ac:dyDescent="0.25">
      <c r="A40" s="3" t="s">
        <v>24</v>
      </c>
      <c r="B40" s="3"/>
      <c r="C40" s="6">
        <f>+C20+C21+C22+C23+C24+C28+C29+C30+C31+C32+C33+C34+C35+C36+C37+C38+C39</f>
        <v>8990.5333333333328</v>
      </c>
      <c r="D40" s="6">
        <f t="shared" ref="D40:N40" si="9">+D20+D21+D22+D23+D24+D28+D29+D30+D31+D32+D33+D34+D35+D36+D37+D38+D39</f>
        <v>13262.333333333332</v>
      </c>
      <c r="E40" s="6">
        <f t="shared" si="9"/>
        <v>15135.333333333334</v>
      </c>
      <c r="F40" s="6">
        <f t="shared" si="9"/>
        <v>18830.066666666662</v>
      </c>
      <c r="G40" s="6">
        <f t="shared" si="9"/>
        <v>24123.133333333331</v>
      </c>
      <c r="H40" s="6">
        <f t="shared" si="9"/>
        <v>7830.5333333333328</v>
      </c>
      <c r="I40" s="6">
        <f t="shared" si="9"/>
        <v>0</v>
      </c>
      <c r="J40" s="6">
        <f t="shared" si="9"/>
        <v>0</v>
      </c>
      <c r="K40" s="6">
        <f t="shared" si="9"/>
        <v>0</v>
      </c>
      <c r="L40" s="6">
        <f t="shared" si="9"/>
        <v>0</v>
      </c>
      <c r="M40" s="6">
        <f t="shared" si="9"/>
        <v>0</v>
      </c>
      <c r="N40" s="6">
        <f t="shared" si="9"/>
        <v>0</v>
      </c>
      <c r="O40" s="8">
        <f t="shared" si="8"/>
        <v>88171.93333333332</v>
      </c>
    </row>
    <row r="41" spans="1:15" ht="12" customHeight="1" x14ac:dyDescent="0.25">
      <c r="A41" s="3" t="s">
        <v>25</v>
      </c>
      <c r="B41" s="3"/>
      <c r="C41" s="6">
        <f t="shared" ref="C41" si="10">C40</f>
        <v>8990.5333333333328</v>
      </c>
      <c r="D41" s="6">
        <f t="shared" ref="D41:N41" si="11">D40</f>
        <v>13262.333333333332</v>
      </c>
      <c r="E41" s="6">
        <f t="shared" si="11"/>
        <v>15135.333333333334</v>
      </c>
      <c r="F41" s="6">
        <f t="shared" si="11"/>
        <v>18830.066666666662</v>
      </c>
      <c r="G41" s="6">
        <f t="shared" si="11"/>
        <v>24123.133333333331</v>
      </c>
      <c r="H41" s="6">
        <f t="shared" si="11"/>
        <v>7830.5333333333328</v>
      </c>
      <c r="I41" s="6">
        <f t="shared" si="11"/>
        <v>0</v>
      </c>
      <c r="J41" s="6">
        <f t="shared" si="11"/>
        <v>0</v>
      </c>
      <c r="K41" s="6">
        <f t="shared" si="11"/>
        <v>0</v>
      </c>
      <c r="L41" s="6">
        <f t="shared" si="11"/>
        <v>0</v>
      </c>
      <c r="M41" s="6">
        <f t="shared" si="11"/>
        <v>0</v>
      </c>
      <c r="N41" s="6">
        <f t="shared" si="11"/>
        <v>0</v>
      </c>
      <c r="O41" s="8">
        <f t="shared" si="8"/>
        <v>88171.93333333332</v>
      </c>
    </row>
    <row r="42" spans="1:15" ht="12" customHeight="1" x14ac:dyDescent="0.25">
      <c r="A42" s="3" t="s">
        <v>26</v>
      </c>
      <c r="B42" s="3"/>
      <c r="C42" s="6">
        <f t="shared" ref="C42" si="12">(((C17)-(C41))+(0))-(0)</f>
        <v>6910.2366666666676</v>
      </c>
      <c r="D42" s="6">
        <f t="shared" ref="D42:N42" si="13">(((D17)-(D41))+(0))-(0)</f>
        <v>3475.6666666666679</v>
      </c>
      <c r="E42" s="6">
        <f t="shared" si="13"/>
        <v>2460.6666666666661</v>
      </c>
      <c r="F42" s="6">
        <f t="shared" si="13"/>
        <v>26977.933333333338</v>
      </c>
      <c r="G42" s="6">
        <f t="shared" si="13"/>
        <v>9524.8666666666686</v>
      </c>
      <c r="H42" s="6">
        <f t="shared" si="13"/>
        <v>4054.2666666666682</v>
      </c>
      <c r="I42" s="6">
        <f t="shared" si="13"/>
        <v>0</v>
      </c>
      <c r="J42" s="6">
        <f t="shared" si="13"/>
        <v>0</v>
      </c>
      <c r="K42" s="6">
        <f t="shared" si="13"/>
        <v>0</v>
      </c>
      <c r="L42" s="6">
        <f t="shared" si="13"/>
        <v>0</v>
      </c>
      <c r="M42" s="6">
        <f t="shared" si="13"/>
        <v>0</v>
      </c>
      <c r="N42" s="6">
        <f t="shared" si="13"/>
        <v>0</v>
      </c>
      <c r="O42" s="8">
        <f t="shared" si="8"/>
        <v>53403.63666666668</v>
      </c>
    </row>
    <row r="43" spans="1:15" ht="12" customHeight="1" x14ac:dyDescent="0.25">
      <c r="A43" s="3"/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4"/>
    </row>
    <row r="44" spans="1:15" ht="12" customHeight="1" x14ac:dyDescent="0.25">
      <c r="A44" s="10" t="s">
        <v>46</v>
      </c>
      <c r="B44" s="10"/>
      <c r="C44" s="11"/>
      <c r="D44" s="11"/>
      <c r="E44" s="11"/>
      <c r="F44" s="11"/>
      <c r="G44" s="12"/>
      <c r="H44" s="12"/>
      <c r="I44" s="12"/>
      <c r="J44" s="12"/>
      <c r="K44" s="12"/>
      <c r="L44" s="12"/>
      <c r="M44" s="12"/>
      <c r="N44" s="12"/>
      <c r="O44" s="13"/>
    </row>
    <row r="45" spans="1:15" ht="12" customHeight="1" x14ac:dyDescent="0.25">
      <c r="A45" s="14" t="s">
        <v>27</v>
      </c>
      <c r="B45" s="15" t="s">
        <v>28</v>
      </c>
      <c r="C45" s="16">
        <f t="shared" ref="C45:H45" si="14">+C10/C49</f>
        <v>328.91472068545869</v>
      </c>
      <c r="D45" s="16">
        <f t="shared" si="14"/>
        <v>263.53215001001399</v>
      </c>
      <c r="E45" s="16">
        <f t="shared" si="14"/>
        <v>257.22012923620468</v>
      </c>
      <c r="F45" s="16">
        <f t="shared" si="14"/>
        <v>643.1555703335049</v>
      </c>
      <c r="G45" s="16">
        <f t="shared" si="14"/>
        <v>499.97624528667768</v>
      </c>
      <c r="H45" s="16">
        <f t="shared" si="14"/>
        <v>258.24637083794164</v>
      </c>
      <c r="I45" s="16"/>
      <c r="J45" s="16"/>
      <c r="K45" s="16"/>
      <c r="L45" s="16"/>
      <c r="M45" s="16"/>
      <c r="N45" s="16"/>
      <c r="O45" s="17">
        <f>SUM(C45:N45)</f>
        <v>2251.0451863898015</v>
      </c>
    </row>
    <row r="46" spans="1:15" ht="12" customHeight="1" x14ac:dyDescent="0.25">
      <c r="A46" s="18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12"/>
      <c r="O46" s="13"/>
    </row>
    <row r="47" spans="1:15" ht="12" customHeight="1" x14ac:dyDescent="0.25">
      <c r="A47" s="14" t="s">
        <v>61</v>
      </c>
      <c r="B47" s="15" t="s">
        <v>29</v>
      </c>
      <c r="C47" s="16">
        <v>12.7</v>
      </c>
      <c r="D47" s="16">
        <v>14.2</v>
      </c>
      <c r="E47" s="16">
        <v>15.3</v>
      </c>
      <c r="F47" s="16">
        <v>15</v>
      </c>
      <c r="G47" s="16">
        <v>15.7</v>
      </c>
      <c r="H47" s="16">
        <v>15.3</v>
      </c>
      <c r="I47" s="16"/>
      <c r="J47" s="16"/>
      <c r="K47" s="16"/>
      <c r="L47" s="16"/>
      <c r="M47" s="16"/>
      <c r="N47" s="45"/>
      <c r="O47" s="17">
        <f>SUM(C47:N47)/6</f>
        <v>14.700000000000001</v>
      </c>
    </row>
    <row r="48" spans="1:15" ht="12" customHeight="1" x14ac:dyDescent="0.25">
      <c r="A48" s="18"/>
      <c r="B48" s="10"/>
      <c r="C48" s="21"/>
      <c r="D48" s="11"/>
      <c r="E48" s="11"/>
      <c r="F48" s="11"/>
      <c r="G48" s="12"/>
      <c r="H48" s="12"/>
      <c r="I48" s="12"/>
      <c r="J48" s="12"/>
      <c r="K48" s="12"/>
      <c r="L48" s="12"/>
      <c r="M48" s="12"/>
      <c r="N48" s="12"/>
      <c r="O48" s="22"/>
    </row>
    <row r="49" spans="1:15" ht="12" customHeight="1" x14ac:dyDescent="0.25">
      <c r="A49" s="14" t="s">
        <v>27</v>
      </c>
      <c r="B49" s="15" t="s">
        <v>30</v>
      </c>
      <c r="C49" s="20">
        <f>+'15% 9-30'!C49</f>
        <v>48.343138813801872</v>
      </c>
      <c r="D49" s="20">
        <f>+'15% 9-30'!D49</f>
        <v>63.514072189537288</v>
      </c>
      <c r="E49" s="20">
        <f>+'15% 9-30'!E49</f>
        <v>68.408332008268417</v>
      </c>
      <c r="F49" s="20">
        <f>+'15% 9-30'!F49</f>
        <v>74.123072030529499</v>
      </c>
      <c r="G49" s="20">
        <f>+'15% 9-30'!G49</f>
        <v>73.79710605819686</v>
      </c>
      <c r="H49" s="20">
        <f>+'15% 9-30'!H49</f>
        <v>58.945778343138812</v>
      </c>
      <c r="I49" s="24"/>
      <c r="J49" s="24"/>
      <c r="K49" s="24"/>
      <c r="L49" s="24"/>
      <c r="M49" s="24"/>
      <c r="N49" s="48"/>
      <c r="O49" s="17">
        <f>SUM(C49:N49)/6</f>
        <v>64.521916573912122</v>
      </c>
    </row>
    <row r="50" spans="1:15" ht="12" customHeight="1" x14ac:dyDescent="0.25">
      <c r="A50" s="18"/>
      <c r="B50" s="10"/>
      <c r="C50" s="25"/>
      <c r="D50" s="26"/>
      <c r="E50" s="26"/>
      <c r="F50" s="26"/>
      <c r="O50" s="27"/>
    </row>
    <row r="51" spans="1:15" ht="12" customHeight="1" x14ac:dyDescent="0.25">
      <c r="A51" s="14" t="s">
        <v>31</v>
      </c>
      <c r="B51" s="15" t="s">
        <v>32</v>
      </c>
      <c r="C51" s="28">
        <f>+C12</f>
        <v>15900.77</v>
      </c>
      <c r="D51" s="28">
        <f t="shared" ref="D51:H51" si="15">+D12</f>
        <v>16738</v>
      </c>
      <c r="E51" s="28">
        <f t="shared" si="15"/>
        <v>17596</v>
      </c>
      <c r="F51" s="28">
        <f t="shared" si="15"/>
        <v>47672.666666666664</v>
      </c>
      <c r="G51" s="28">
        <f t="shared" si="15"/>
        <v>36896.800000000003</v>
      </c>
      <c r="H51" s="28">
        <f t="shared" si="15"/>
        <v>15222.533333333335</v>
      </c>
      <c r="I51" s="28"/>
      <c r="J51" s="28"/>
      <c r="K51" s="28"/>
      <c r="L51" s="28"/>
      <c r="M51" s="28"/>
      <c r="N51" s="28"/>
      <c r="O51" s="29">
        <f>SUM(C51:N51)</f>
        <v>150026.77000000002</v>
      </c>
    </row>
    <row r="52" spans="1:15" ht="12" customHeight="1" x14ac:dyDescent="0.25">
      <c r="A52" s="14" t="s">
        <v>33</v>
      </c>
      <c r="B52" s="15" t="s">
        <v>32</v>
      </c>
      <c r="C52" s="28">
        <f>+C14</f>
        <v>0</v>
      </c>
      <c r="D52" s="28">
        <f t="shared" ref="D52:H52" si="16">+D14</f>
        <v>0</v>
      </c>
      <c r="E52" s="28">
        <f t="shared" si="16"/>
        <v>0</v>
      </c>
      <c r="F52" s="28">
        <f t="shared" si="16"/>
        <v>-1864.6666666666667</v>
      </c>
      <c r="G52" s="28">
        <f t="shared" si="16"/>
        <v>-3248.8</v>
      </c>
      <c r="H52" s="28">
        <f t="shared" si="16"/>
        <v>-3337.7333333333336</v>
      </c>
      <c r="I52" s="28"/>
      <c r="J52" s="28"/>
      <c r="K52" s="28"/>
      <c r="L52" s="28"/>
      <c r="M52" s="28"/>
      <c r="N52" s="28"/>
      <c r="O52" s="29">
        <f>SUM(C52:N52)</f>
        <v>-8451.2000000000007</v>
      </c>
    </row>
    <row r="53" spans="1:15" ht="12" customHeight="1" x14ac:dyDescent="0.25">
      <c r="A53" s="14" t="s">
        <v>34</v>
      </c>
      <c r="B53" s="15" t="s">
        <v>32</v>
      </c>
      <c r="C53" s="28">
        <f>+C40</f>
        <v>8990.5333333333328</v>
      </c>
      <c r="D53" s="28">
        <f t="shared" ref="D53:H53" si="17">+D40</f>
        <v>13262.333333333332</v>
      </c>
      <c r="E53" s="28">
        <f t="shared" si="17"/>
        <v>15135.333333333334</v>
      </c>
      <c r="F53" s="28">
        <f t="shared" si="17"/>
        <v>18830.066666666662</v>
      </c>
      <c r="G53" s="28">
        <f t="shared" si="17"/>
        <v>24123.133333333331</v>
      </c>
      <c r="H53" s="28">
        <f t="shared" si="17"/>
        <v>7830.5333333333328</v>
      </c>
      <c r="I53" s="28"/>
      <c r="J53" s="28"/>
      <c r="K53" s="28"/>
      <c r="L53" s="28"/>
      <c r="M53" s="28"/>
      <c r="N53" s="28"/>
      <c r="O53" s="29">
        <f>SUM(C53:N53)</f>
        <v>88171.93333333332</v>
      </c>
    </row>
    <row r="54" spans="1:15" ht="12" customHeight="1" x14ac:dyDescent="0.25">
      <c r="A54" s="18" t="s">
        <v>31</v>
      </c>
      <c r="B54" s="19" t="s">
        <v>30</v>
      </c>
      <c r="C54" s="30">
        <f>+C51/C45</f>
        <v>48.343138813801872</v>
      </c>
      <c r="D54" s="30">
        <f t="shared" ref="D54:H54" si="18">+D51/D45</f>
        <v>63.514072189537295</v>
      </c>
      <c r="E54" s="30">
        <f t="shared" si="18"/>
        <v>68.408332008268417</v>
      </c>
      <c r="F54" s="30">
        <f t="shared" si="18"/>
        <v>74.123072030529499</v>
      </c>
      <c r="G54" s="30">
        <f t="shared" si="18"/>
        <v>73.79710605819686</v>
      </c>
      <c r="H54" s="30">
        <f t="shared" si="18"/>
        <v>58.945778343138812</v>
      </c>
      <c r="I54" s="30"/>
      <c r="J54" s="30"/>
      <c r="K54" s="30"/>
      <c r="L54" s="30"/>
      <c r="M54" s="30"/>
      <c r="N54" s="30"/>
      <c r="O54" s="31">
        <f t="shared" ref="O54:O62" si="19">SUM(C54:N54)/6</f>
        <v>64.521916573912122</v>
      </c>
    </row>
    <row r="55" spans="1:15" ht="12" customHeight="1" x14ac:dyDescent="0.25">
      <c r="A55" s="14" t="s">
        <v>33</v>
      </c>
      <c r="B55" s="15" t="s">
        <v>30</v>
      </c>
      <c r="C55" s="32">
        <f>+C52/C45</f>
        <v>0</v>
      </c>
      <c r="D55" s="32">
        <f t="shared" ref="D55:H55" si="20">+D52/D45</f>
        <v>0</v>
      </c>
      <c r="E55" s="32">
        <f t="shared" si="20"/>
        <v>0</v>
      </c>
      <c r="F55" s="32">
        <f t="shared" si="20"/>
        <v>-2.8992467027841395</v>
      </c>
      <c r="G55" s="32">
        <f t="shared" si="20"/>
        <v>-6.4979087119172929</v>
      </c>
      <c r="H55" s="32">
        <f t="shared" si="20"/>
        <v>-12.924608862859392</v>
      </c>
      <c r="I55" s="32"/>
      <c r="J55" s="32"/>
      <c r="K55" s="32"/>
      <c r="L55" s="32"/>
      <c r="M55" s="32"/>
      <c r="N55" s="32"/>
      <c r="O55" s="33">
        <f t="shared" si="19"/>
        <v>-3.7202940462601375</v>
      </c>
    </row>
    <row r="56" spans="1:15" ht="12" customHeight="1" x14ac:dyDescent="0.25">
      <c r="A56" s="14" t="s">
        <v>34</v>
      </c>
      <c r="B56" s="15" t="s">
        <v>30</v>
      </c>
      <c r="C56" s="32">
        <f>+C53/C45</f>
        <v>27.333934202145315</v>
      </c>
      <c r="D56" s="32">
        <f t="shared" ref="D56:H56" si="21">+D53/D45</f>
        <v>50.325295539194649</v>
      </c>
      <c r="E56" s="32">
        <f t="shared" si="21"/>
        <v>58.841947472293626</v>
      </c>
      <c r="F56" s="32">
        <f t="shared" si="21"/>
        <v>29.277623541225697</v>
      </c>
      <c r="G56" s="32">
        <f t="shared" si="21"/>
        <v>48.248558928037767</v>
      </c>
      <c r="H56" s="32">
        <f t="shared" si="21"/>
        <v>30.321949183352739</v>
      </c>
      <c r="I56" s="32"/>
      <c r="J56" s="32"/>
      <c r="K56" s="32"/>
      <c r="L56" s="32"/>
      <c r="M56" s="32"/>
      <c r="N56" s="32"/>
      <c r="O56" s="34">
        <f t="shared" si="19"/>
        <v>40.724884811041626</v>
      </c>
    </row>
    <row r="57" spans="1:15" ht="12" customHeight="1" x14ac:dyDescent="0.25">
      <c r="A57" s="18" t="s">
        <v>35</v>
      </c>
      <c r="B57" s="19" t="s">
        <v>30</v>
      </c>
      <c r="C57" s="30">
        <f>+C54+C55-C56</f>
        <v>21.009204611656557</v>
      </c>
      <c r="D57" s="30">
        <f t="shared" ref="D57:H57" si="22">+D54+D55-D56</f>
        <v>13.188776650342646</v>
      </c>
      <c r="E57" s="30">
        <f t="shared" si="22"/>
        <v>9.566384535974791</v>
      </c>
      <c r="F57" s="30">
        <f t="shared" si="22"/>
        <v>41.946201786519666</v>
      </c>
      <c r="G57" s="30">
        <f t="shared" si="22"/>
        <v>19.050638418241803</v>
      </c>
      <c r="H57" s="30">
        <f t="shared" si="22"/>
        <v>15.699220296926679</v>
      </c>
      <c r="I57" s="30"/>
      <c r="J57" s="30"/>
      <c r="K57" s="30"/>
      <c r="L57" s="30"/>
      <c r="M57" s="30"/>
      <c r="N57" s="30"/>
      <c r="O57" s="31">
        <f t="shared" si="19"/>
        <v>20.076737716610356</v>
      </c>
    </row>
    <row r="58" spans="1:15" ht="12" customHeight="1" x14ac:dyDescent="0.25">
      <c r="A58" s="18" t="s">
        <v>36</v>
      </c>
      <c r="B58" s="35" t="s">
        <v>37</v>
      </c>
      <c r="C58" s="30">
        <f>-C14/C10*100</f>
        <v>0</v>
      </c>
      <c r="D58" s="30">
        <f t="shared" ref="D58:H58" si="23">-D14/D10*100</f>
        <v>0</v>
      </c>
      <c r="E58" s="30">
        <f t="shared" si="23"/>
        <v>0</v>
      </c>
      <c r="F58" s="30">
        <f t="shared" si="23"/>
        <v>3.9113957683648213</v>
      </c>
      <c r="G58" s="30">
        <f t="shared" si="23"/>
        <v>8.805099629236139</v>
      </c>
      <c r="H58" s="30">
        <f t="shared" si="23"/>
        <v>21.926267200378387</v>
      </c>
      <c r="I58" s="30"/>
      <c r="J58" s="30"/>
      <c r="K58" s="30"/>
      <c r="L58" s="30"/>
      <c r="M58" s="30"/>
      <c r="N58" s="30"/>
      <c r="O58" s="31">
        <f t="shared" si="19"/>
        <v>5.7737937663298915</v>
      </c>
    </row>
    <row r="59" spans="1:15" ht="12" customHeight="1" x14ac:dyDescent="0.25">
      <c r="A59" s="14" t="s">
        <v>38</v>
      </c>
      <c r="B59" s="36" t="s">
        <v>37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/>
      <c r="J59" s="32"/>
      <c r="K59" s="32"/>
      <c r="L59" s="32"/>
      <c r="M59" s="32"/>
      <c r="N59" s="32"/>
      <c r="O59" s="34">
        <f t="shared" si="19"/>
        <v>0</v>
      </c>
    </row>
    <row r="60" spans="1:15" ht="12" customHeight="1" x14ac:dyDescent="0.25">
      <c r="A60" s="18" t="s">
        <v>39</v>
      </c>
      <c r="B60" s="35" t="s">
        <v>37</v>
      </c>
      <c r="C60" s="30">
        <f>+C52/C51*100</f>
        <v>0</v>
      </c>
      <c r="D60" s="30">
        <f t="shared" ref="D60:H60" si="24">+D52/D51*100</f>
        <v>0</v>
      </c>
      <c r="E60" s="30">
        <f t="shared" si="24"/>
        <v>0</v>
      </c>
      <c r="F60" s="30">
        <f t="shared" si="24"/>
        <v>-3.9113957683648213</v>
      </c>
      <c r="G60" s="30">
        <f t="shared" si="24"/>
        <v>-8.805099629236139</v>
      </c>
      <c r="H60" s="30">
        <f t="shared" si="24"/>
        <v>-21.926267200378387</v>
      </c>
      <c r="I60" s="30"/>
      <c r="J60" s="30"/>
      <c r="K60" s="30"/>
      <c r="L60" s="30"/>
      <c r="M60" s="30"/>
      <c r="N60" s="30"/>
      <c r="O60" s="31">
        <f t="shared" si="19"/>
        <v>-5.7737937663298915</v>
      </c>
    </row>
    <row r="61" spans="1:15" ht="12" customHeight="1" x14ac:dyDescent="0.25">
      <c r="A61" s="14" t="s">
        <v>40</v>
      </c>
      <c r="B61" s="36" t="s">
        <v>37</v>
      </c>
      <c r="C61" s="32">
        <f>C53/C51*100</f>
        <v>56.541496627731433</v>
      </c>
      <c r="D61" s="32">
        <f t="shared" ref="D61:H61" si="25">D53/D51*100</f>
        <v>79.234874736129356</v>
      </c>
      <c r="E61" s="32">
        <f t="shared" si="25"/>
        <v>86.015761157838909</v>
      </c>
      <c r="F61" s="32">
        <f t="shared" si="25"/>
        <v>39.498664503768751</v>
      </c>
      <c r="G61" s="32">
        <f t="shared" si="25"/>
        <v>65.380014888373324</v>
      </c>
      <c r="H61" s="32">
        <f t="shared" si="25"/>
        <v>51.440408517198179</v>
      </c>
      <c r="I61" s="32"/>
      <c r="J61" s="32"/>
      <c r="K61" s="32"/>
      <c r="L61" s="32"/>
      <c r="M61" s="32"/>
      <c r="N61" s="32"/>
      <c r="O61" s="33">
        <f t="shared" si="19"/>
        <v>63.018536738506668</v>
      </c>
    </row>
    <row r="62" spans="1:15" ht="12" customHeight="1" x14ac:dyDescent="0.25">
      <c r="A62" s="37" t="s">
        <v>41</v>
      </c>
      <c r="B62" s="38" t="s">
        <v>37</v>
      </c>
      <c r="C62" s="39">
        <f>C53/(C51+C52)*100</f>
        <v>56.541496627731433</v>
      </c>
      <c r="D62" s="39">
        <f t="shared" ref="D62:H62" si="26">D53/(D51+D52)*100</f>
        <v>79.234874736129356</v>
      </c>
      <c r="E62" s="39">
        <f t="shared" si="26"/>
        <v>86.015761157838909</v>
      </c>
      <c r="F62" s="39">
        <f t="shared" si="26"/>
        <v>41.10650250320176</v>
      </c>
      <c r="G62" s="39">
        <f t="shared" si="26"/>
        <v>71.692621651608818</v>
      </c>
      <c r="H62" s="39">
        <f t="shared" si="26"/>
        <v>65.886959253275876</v>
      </c>
      <c r="I62" s="39"/>
      <c r="J62" s="39"/>
      <c r="K62" s="39"/>
      <c r="L62" s="39"/>
      <c r="M62" s="39"/>
      <c r="N62" s="39"/>
      <c r="O62" s="34">
        <f t="shared" si="19"/>
        <v>66.746369321631036</v>
      </c>
    </row>
  </sheetData>
  <mergeCells count="3">
    <mergeCell ref="A1:O1"/>
    <mergeCell ref="A2:O2"/>
    <mergeCell ref="A3:O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workbookViewId="0">
      <selection activeCell="J53" sqref="J53"/>
    </sheetView>
  </sheetViews>
  <sheetFormatPr defaultRowHeight="15" x14ac:dyDescent="0.25"/>
  <cols>
    <col min="1" max="1" width="30.140625" customWidth="1"/>
    <col min="2" max="2" width="7.5703125" customWidth="1"/>
    <col min="3" max="3" width="9.28515625" bestFit="1" customWidth="1"/>
    <col min="4" max="4" width="9.5703125" bestFit="1" customWidth="1"/>
    <col min="5" max="5" width="9.28515625" bestFit="1" customWidth="1"/>
    <col min="6" max="14" width="9.42578125" customWidth="1"/>
    <col min="15" max="15" width="13.140625" bestFit="1" customWidth="1"/>
    <col min="16" max="16" width="9.5703125" bestFit="1" customWidth="1"/>
  </cols>
  <sheetData>
    <row r="1" spans="1:16" ht="18" x14ac:dyDescent="0.25">
      <c r="A1" s="51" t="s">
        <v>0</v>
      </c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6" ht="18" x14ac:dyDescent="0.25">
      <c r="A2" s="51" t="s">
        <v>52</v>
      </c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6" x14ac:dyDescent="0.25">
      <c r="A3" s="53" t="s">
        <v>47</v>
      </c>
      <c r="B3" s="53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5" spans="1:16" ht="12" customHeight="1" x14ac:dyDescent="0.25">
      <c r="A5" s="1"/>
      <c r="B5" s="1"/>
      <c r="C5" s="40">
        <v>43466</v>
      </c>
      <c r="D5" s="40">
        <v>43514</v>
      </c>
      <c r="E5" s="40">
        <v>43542</v>
      </c>
      <c r="F5" s="40">
        <v>43573</v>
      </c>
      <c r="G5" s="40">
        <v>43603</v>
      </c>
      <c r="H5" s="40">
        <v>43634</v>
      </c>
      <c r="I5" s="40">
        <v>43664</v>
      </c>
      <c r="J5" s="40">
        <v>43695</v>
      </c>
      <c r="K5" s="40">
        <v>43726</v>
      </c>
      <c r="L5" s="40">
        <v>43756</v>
      </c>
      <c r="M5" s="40">
        <v>43787</v>
      </c>
      <c r="N5" s="40">
        <v>43817</v>
      </c>
      <c r="O5" s="2" t="s">
        <v>1</v>
      </c>
    </row>
    <row r="6" spans="1:16" ht="12" customHeight="1" x14ac:dyDescent="0.25">
      <c r="A6" s="3" t="s">
        <v>2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O6" s="4"/>
    </row>
    <row r="7" spans="1:16" ht="12" customHeight="1" x14ac:dyDescent="0.25">
      <c r="A7" s="3" t="s">
        <v>3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O7" s="5"/>
    </row>
    <row r="8" spans="1:16" ht="12" customHeight="1" x14ac:dyDescent="0.25">
      <c r="A8" s="3" t="s">
        <v>54</v>
      </c>
      <c r="B8" s="3"/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/>
      <c r="J8" s="4"/>
      <c r="K8" s="4"/>
      <c r="L8" s="4"/>
      <c r="M8" s="4"/>
      <c r="N8" s="4"/>
      <c r="O8" s="5">
        <f>SUM(C8:N8)</f>
        <v>0</v>
      </c>
    </row>
    <row r="9" spans="1:16" ht="12" customHeight="1" x14ac:dyDescent="0.25">
      <c r="A9" s="3" t="s">
        <v>4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O9" s="5"/>
    </row>
    <row r="10" spans="1:16" ht="12" customHeight="1" x14ac:dyDescent="0.25">
      <c r="A10" s="3" t="s">
        <v>5</v>
      </c>
      <c r="B10" s="3"/>
      <c r="C10" s="5">
        <v>7589.23</v>
      </c>
      <c r="D10" s="5">
        <v>7500.53</v>
      </c>
      <c r="E10" s="5">
        <v>7532.11</v>
      </c>
      <c r="F10" s="5">
        <v>7410.19</v>
      </c>
      <c r="G10" s="5">
        <v>8068.32</v>
      </c>
      <c r="H10" s="5">
        <v>0</v>
      </c>
      <c r="I10" s="5"/>
      <c r="J10" s="5"/>
      <c r="K10" s="5"/>
      <c r="L10" s="5"/>
      <c r="M10" s="5"/>
      <c r="O10" s="5">
        <f t="shared" ref="O10:O12" si="0">SUM(C10:N10)</f>
        <v>38100.379999999997</v>
      </c>
    </row>
    <row r="11" spans="1:16" ht="12" customHeight="1" x14ac:dyDescent="0.25">
      <c r="A11" s="3" t="s">
        <v>6</v>
      </c>
      <c r="B11" s="3"/>
      <c r="C11" s="6">
        <f t="shared" ref="C11:M11" si="1">(C9)+(C10)</f>
        <v>7589.23</v>
      </c>
      <c r="D11" s="6">
        <f t="shared" si="1"/>
        <v>7500.53</v>
      </c>
      <c r="E11" s="6">
        <f t="shared" si="1"/>
        <v>7532.11</v>
      </c>
      <c r="F11" s="6">
        <f t="shared" si="1"/>
        <v>7410.19</v>
      </c>
      <c r="G11" s="6">
        <f t="shared" si="1"/>
        <v>8068.32</v>
      </c>
      <c r="H11" s="6">
        <f t="shared" si="1"/>
        <v>0</v>
      </c>
      <c r="I11" s="6">
        <f t="shared" si="1"/>
        <v>0</v>
      </c>
      <c r="J11" s="6">
        <f t="shared" si="1"/>
        <v>0</v>
      </c>
      <c r="K11" s="6">
        <f t="shared" si="1"/>
        <v>0</v>
      </c>
      <c r="L11" s="6">
        <f t="shared" si="1"/>
        <v>0</v>
      </c>
      <c r="M11" s="6">
        <f t="shared" si="1"/>
        <v>0</v>
      </c>
      <c r="N11" s="6">
        <f t="shared" ref="N11" si="2">(N9)+(N10)</f>
        <v>0</v>
      </c>
      <c r="O11" s="7">
        <f t="shared" si="0"/>
        <v>38100.379999999997</v>
      </c>
    </row>
    <row r="12" spans="1:16" ht="12" customHeight="1" x14ac:dyDescent="0.25">
      <c r="A12" s="3" t="s">
        <v>7</v>
      </c>
      <c r="B12" s="3"/>
      <c r="C12" s="6">
        <f t="shared" ref="C12:M12" si="3">+C8+C10</f>
        <v>7589.23</v>
      </c>
      <c r="D12" s="6">
        <f t="shared" si="3"/>
        <v>7500.53</v>
      </c>
      <c r="E12" s="6">
        <f t="shared" si="3"/>
        <v>7532.11</v>
      </c>
      <c r="F12" s="6">
        <f t="shared" si="3"/>
        <v>7410.19</v>
      </c>
      <c r="G12" s="6">
        <f t="shared" si="3"/>
        <v>8068.32</v>
      </c>
      <c r="H12" s="6">
        <f t="shared" si="3"/>
        <v>0</v>
      </c>
      <c r="I12" s="6">
        <f t="shared" si="3"/>
        <v>0</v>
      </c>
      <c r="J12" s="6">
        <f>+J8+J10</f>
        <v>0</v>
      </c>
      <c r="K12" s="6">
        <f>+K8+K10</f>
        <v>0</v>
      </c>
      <c r="L12" s="6">
        <f t="shared" si="3"/>
        <v>0</v>
      </c>
      <c r="M12" s="6">
        <f t="shared" si="3"/>
        <v>0</v>
      </c>
      <c r="N12" s="6">
        <f t="shared" ref="N12" si="4">+N8+N10</f>
        <v>0</v>
      </c>
      <c r="O12" s="46">
        <f t="shared" si="0"/>
        <v>38100.379999999997</v>
      </c>
    </row>
    <row r="13" spans="1:16" ht="12" customHeight="1" x14ac:dyDescent="0.25">
      <c r="A13" s="3" t="s">
        <v>8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O13" s="5"/>
    </row>
    <row r="14" spans="1:16" ht="12" customHeight="1" x14ac:dyDescent="0.25">
      <c r="A14" s="3" t="s">
        <v>42</v>
      </c>
      <c r="B14" s="3"/>
      <c r="C14" s="5">
        <v>-59.79</v>
      </c>
      <c r="D14" s="5">
        <v>-772.17</v>
      </c>
      <c r="E14" s="5">
        <v>-1526.96</v>
      </c>
      <c r="F14" s="5">
        <v>-804.73</v>
      </c>
      <c r="G14" s="5">
        <v>-1406.1</v>
      </c>
      <c r="H14" s="5">
        <v>-467.59</v>
      </c>
      <c r="I14" s="5"/>
      <c r="J14" s="5"/>
      <c r="K14" s="5"/>
      <c r="L14" s="5"/>
      <c r="M14" s="5"/>
      <c r="N14" s="5"/>
      <c r="O14" s="5">
        <f t="shared" ref="O14:O17" si="5">SUM(C14:N14)</f>
        <v>-5037.34</v>
      </c>
    </row>
    <row r="15" spans="1:16" ht="12" customHeight="1" x14ac:dyDescent="0.25">
      <c r="A15" s="3" t="s">
        <v>9</v>
      </c>
      <c r="B15" s="3"/>
      <c r="C15" s="6">
        <f t="shared" ref="C15:M15" si="6">((C13)+(C14))</f>
        <v>-59.79</v>
      </c>
      <c r="D15" s="6">
        <f t="shared" si="6"/>
        <v>-772.17</v>
      </c>
      <c r="E15" s="6">
        <f t="shared" si="6"/>
        <v>-1526.96</v>
      </c>
      <c r="F15" s="6">
        <f t="shared" si="6"/>
        <v>-804.73</v>
      </c>
      <c r="G15" s="6">
        <f t="shared" si="6"/>
        <v>-1406.1</v>
      </c>
      <c r="H15" s="6">
        <f t="shared" si="6"/>
        <v>-467.59</v>
      </c>
      <c r="I15" s="6">
        <f t="shared" si="6"/>
        <v>0</v>
      </c>
      <c r="J15" s="6">
        <f t="shared" si="6"/>
        <v>0</v>
      </c>
      <c r="K15" s="6">
        <f t="shared" si="6"/>
        <v>0</v>
      </c>
      <c r="L15" s="6">
        <f t="shared" si="6"/>
        <v>0</v>
      </c>
      <c r="M15" s="6">
        <f t="shared" si="6"/>
        <v>0</v>
      </c>
      <c r="N15" s="6">
        <f t="shared" ref="N15" si="7">((N13)+(N14))</f>
        <v>0</v>
      </c>
      <c r="O15" s="7">
        <f t="shared" si="5"/>
        <v>-5037.34</v>
      </c>
      <c r="P15" s="41"/>
    </row>
    <row r="16" spans="1:16" ht="12" customHeight="1" x14ac:dyDescent="0.25">
      <c r="A16" s="3" t="s">
        <v>10</v>
      </c>
      <c r="B16" s="3"/>
      <c r="C16" s="6">
        <f t="shared" ref="C16:M16" si="8">(C12)+(C15)</f>
        <v>7529.44</v>
      </c>
      <c r="D16" s="6">
        <f t="shared" si="8"/>
        <v>6728.36</v>
      </c>
      <c r="E16" s="6">
        <f t="shared" si="8"/>
        <v>6005.15</v>
      </c>
      <c r="F16" s="6">
        <f t="shared" si="8"/>
        <v>6605.4599999999991</v>
      </c>
      <c r="G16" s="6">
        <f t="shared" si="8"/>
        <v>6662.2199999999993</v>
      </c>
      <c r="H16" s="6">
        <f t="shared" si="8"/>
        <v>-467.59</v>
      </c>
      <c r="I16" s="6">
        <f t="shared" si="8"/>
        <v>0</v>
      </c>
      <c r="J16" s="6">
        <f t="shared" si="8"/>
        <v>0</v>
      </c>
      <c r="K16" s="6">
        <f t="shared" si="8"/>
        <v>0</v>
      </c>
      <c r="L16" s="6">
        <f t="shared" si="8"/>
        <v>0</v>
      </c>
      <c r="M16" s="6">
        <f t="shared" si="8"/>
        <v>0</v>
      </c>
      <c r="N16" s="6">
        <f t="shared" ref="N16" si="9">(N12)+(N15)</f>
        <v>0</v>
      </c>
      <c r="O16" s="7">
        <f t="shared" si="5"/>
        <v>33063.040000000001</v>
      </c>
      <c r="P16" s="41"/>
    </row>
    <row r="17" spans="1:15" ht="12" customHeight="1" x14ac:dyDescent="0.25">
      <c r="A17" s="3" t="s">
        <v>11</v>
      </c>
      <c r="B17" s="3"/>
      <c r="C17" s="6">
        <f t="shared" ref="C17:M17" si="10">(C16)-(0)</f>
        <v>7529.44</v>
      </c>
      <c r="D17" s="6">
        <f t="shared" si="10"/>
        <v>6728.36</v>
      </c>
      <c r="E17" s="6">
        <f t="shared" si="10"/>
        <v>6005.15</v>
      </c>
      <c r="F17" s="6">
        <f t="shared" si="10"/>
        <v>6605.4599999999991</v>
      </c>
      <c r="G17" s="6">
        <f t="shared" si="10"/>
        <v>6662.2199999999993</v>
      </c>
      <c r="H17" s="6">
        <f t="shared" si="10"/>
        <v>-467.59</v>
      </c>
      <c r="I17" s="6">
        <f t="shared" si="10"/>
        <v>0</v>
      </c>
      <c r="J17" s="6">
        <f t="shared" si="10"/>
        <v>0</v>
      </c>
      <c r="K17" s="6">
        <f t="shared" si="10"/>
        <v>0</v>
      </c>
      <c r="L17" s="6">
        <f t="shared" si="10"/>
        <v>0</v>
      </c>
      <c r="M17" s="6">
        <f t="shared" si="10"/>
        <v>0</v>
      </c>
      <c r="N17" s="6">
        <f t="shared" ref="N17" si="11">(N16)-(0)</f>
        <v>0</v>
      </c>
      <c r="O17" s="46">
        <f t="shared" si="5"/>
        <v>33063.040000000001</v>
      </c>
    </row>
    <row r="18" spans="1:15" ht="12" customHeight="1" x14ac:dyDescent="0.25">
      <c r="A18" s="3" t="s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O18" s="4"/>
    </row>
    <row r="19" spans="1:15" ht="12" customHeight="1" x14ac:dyDescent="0.25">
      <c r="A19" s="3" t="s">
        <v>13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O19" s="5"/>
    </row>
    <row r="20" spans="1:15" ht="12" customHeight="1" x14ac:dyDescent="0.25">
      <c r="A20" s="3" t="s">
        <v>48</v>
      </c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O20" s="5">
        <f t="shared" ref="O20:O24" si="12">SUM(C20:N20)</f>
        <v>0</v>
      </c>
    </row>
    <row r="21" spans="1:15" ht="12" customHeight="1" x14ac:dyDescent="0.25">
      <c r="A21" s="3" t="s">
        <v>14</v>
      </c>
      <c r="B21" s="3"/>
      <c r="C21" s="5">
        <v>90.69</v>
      </c>
      <c r="D21" s="4"/>
      <c r="E21" s="4">
        <v>11.73</v>
      </c>
      <c r="F21" s="5"/>
      <c r="G21" s="4">
        <v>33.72</v>
      </c>
      <c r="H21" s="4">
        <v>72.06</v>
      </c>
      <c r="I21" s="5"/>
      <c r="J21" s="4"/>
      <c r="K21" s="4"/>
      <c r="L21" s="4"/>
      <c r="M21" s="4"/>
      <c r="N21" s="4"/>
      <c r="O21" s="5">
        <f t="shared" si="12"/>
        <v>208.2</v>
      </c>
    </row>
    <row r="22" spans="1:15" ht="12" customHeight="1" x14ac:dyDescent="0.25">
      <c r="A22" s="3" t="s">
        <v>15</v>
      </c>
      <c r="B22" s="3"/>
      <c r="C22" s="5">
        <v>112.5</v>
      </c>
      <c r="D22" s="5">
        <v>112.5</v>
      </c>
      <c r="E22" s="5">
        <v>112.5</v>
      </c>
      <c r="F22" s="5">
        <v>112.5</v>
      </c>
      <c r="G22" s="5">
        <v>120</v>
      </c>
      <c r="H22" s="5">
        <v>121.5</v>
      </c>
      <c r="I22" s="5"/>
      <c r="J22" s="5"/>
      <c r="K22" s="5"/>
      <c r="L22" s="5"/>
      <c r="M22" s="5"/>
      <c r="N22" s="5"/>
      <c r="O22" s="5">
        <f t="shared" si="12"/>
        <v>691.5</v>
      </c>
    </row>
    <row r="23" spans="1:15" ht="12" customHeight="1" x14ac:dyDescent="0.25">
      <c r="A23" s="3" t="s">
        <v>44</v>
      </c>
      <c r="B23" s="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O23" s="5">
        <f t="shared" si="12"/>
        <v>0</v>
      </c>
    </row>
    <row r="24" spans="1:15" ht="12" customHeight="1" x14ac:dyDescent="0.25">
      <c r="A24" s="3" t="s">
        <v>16</v>
      </c>
      <c r="B24" s="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O24" s="5">
        <f t="shared" si="12"/>
        <v>0</v>
      </c>
    </row>
    <row r="25" spans="1:15" ht="12" customHeight="1" x14ac:dyDescent="0.25">
      <c r="A25" s="3" t="s">
        <v>17</v>
      </c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O25" s="5"/>
    </row>
    <row r="26" spans="1:15" ht="12" customHeight="1" x14ac:dyDescent="0.25">
      <c r="A26" s="3" t="s">
        <v>18</v>
      </c>
      <c r="B26" s="3"/>
      <c r="C26" s="4"/>
      <c r="D26" s="4"/>
      <c r="E26" s="4"/>
      <c r="F26" s="4"/>
      <c r="G26" s="5"/>
      <c r="H26" s="5"/>
      <c r="I26" s="5"/>
      <c r="J26" s="5"/>
      <c r="K26" s="5"/>
      <c r="L26" s="5"/>
      <c r="M26" s="5"/>
      <c r="O26" s="5">
        <f>SUM(C26:N26)</f>
        <v>0</v>
      </c>
    </row>
    <row r="27" spans="1:15" ht="12" customHeight="1" x14ac:dyDescent="0.25">
      <c r="A27" s="3" t="s">
        <v>53</v>
      </c>
      <c r="B27" s="3"/>
      <c r="C27" s="4"/>
      <c r="D27" s="4"/>
      <c r="E27" s="4">
        <v>67.2</v>
      </c>
      <c r="F27" s="4"/>
      <c r="G27" s="5"/>
      <c r="H27" s="5">
        <v>67.2</v>
      </c>
      <c r="I27" s="5"/>
      <c r="J27" s="5"/>
      <c r="K27" s="5"/>
      <c r="L27" s="5"/>
      <c r="M27" s="5"/>
      <c r="O27" s="5">
        <f>SUM(C27:N27)</f>
        <v>134.4</v>
      </c>
    </row>
    <row r="28" spans="1:15" ht="12" customHeight="1" x14ac:dyDescent="0.25">
      <c r="A28" s="3" t="s">
        <v>19</v>
      </c>
      <c r="B28" s="3"/>
      <c r="C28" s="6">
        <f t="shared" ref="C28:M28" si="13">+C26+C27</f>
        <v>0</v>
      </c>
      <c r="D28" s="6">
        <f t="shared" si="13"/>
        <v>0</v>
      </c>
      <c r="E28" s="6">
        <f t="shared" si="13"/>
        <v>67.2</v>
      </c>
      <c r="F28" s="6">
        <f t="shared" si="13"/>
        <v>0</v>
      </c>
      <c r="G28" s="6">
        <f t="shared" si="13"/>
        <v>0</v>
      </c>
      <c r="H28" s="6">
        <f t="shared" si="13"/>
        <v>67.2</v>
      </c>
      <c r="I28" s="6">
        <f t="shared" si="13"/>
        <v>0</v>
      </c>
      <c r="J28" s="6">
        <f t="shared" si="13"/>
        <v>0</v>
      </c>
      <c r="K28" s="6">
        <f t="shared" si="13"/>
        <v>0</v>
      </c>
      <c r="L28" s="6">
        <f t="shared" si="13"/>
        <v>0</v>
      </c>
      <c r="M28" s="6">
        <f t="shared" si="13"/>
        <v>0</v>
      </c>
      <c r="N28" s="43"/>
      <c r="O28" s="8">
        <f>SUM(C28:N28)</f>
        <v>134.4</v>
      </c>
    </row>
    <row r="29" spans="1:15" ht="12" customHeight="1" x14ac:dyDescent="0.25">
      <c r="A29" s="3" t="s">
        <v>49</v>
      </c>
      <c r="B29" s="3"/>
      <c r="C29" s="41"/>
      <c r="D29" s="41"/>
      <c r="E29" s="41"/>
      <c r="F29" s="41"/>
      <c r="G29" s="42">
        <v>143.09</v>
      </c>
      <c r="H29" s="42"/>
      <c r="I29" s="41"/>
      <c r="J29" s="41"/>
      <c r="K29" s="41"/>
      <c r="L29" s="41"/>
      <c r="M29" s="41"/>
      <c r="O29" s="5">
        <f t="shared" ref="O29:O40" si="14">SUM(C29:N29)</f>
        <v>143.09</v>
      </c>
    </row>
    <row r="30" spans="1:15" ht="12" customHeight="1" x14ac:dyDescent="0.25">
      <c r="A30" s="3" t="s">
        <v>20</v>
      </c>
      <c r="B30" s="3"/>
      <c r="C30" s="5"/>
      <c r="D30" s="5"/>
      <c r="E30" s="5">
        <v>8.59</v>
      </c>
      <c r="F30" s="4"/>
      <c r="G30" s="4">
        <v>10.8</v>
      </c>
      <c r="H30" s="4"/>
      <c r="I30" s="4"/>
      <c r="J30" s="4"/>
      <c r="K30" s="4"/>
      <c r="L30" s="4"/>
      <c r="M30" s="4"/>
      <c r="O30" s="5">
        <f t="shared" si="14"/>
        <v>19.39</v>
      </c>
    </row>
    <row r="31" spans="1:15" ht="12" customHeight="1" x14ac:dyDescent="0.25">
      <c r="A31" s="3" t="s">
        <v>50</v>
      </c>
      <c r="B31" s="3"/>
      <c r="C31" s="5"/>
      <c r="D31" s="5"/>
      <c r="E31" s="5"/>
      <c r="F31" s="4"/>
      <c r="G31" s="4"/>
      <c r="H31" s="4"/>
      <c r="I31" s="4"/>
      <c r="J31" s="4"/>
      <c r="K31" s="4"/>
      <c r="L31" s="4"/>
      <c r="M31" s="4"/>
      <c r="O31" s="5">
        <f t="shared" si="14"/>
        <v>0</v>
      </c>
    </row>
    <row r="32" spans="1:15" ht="12" customHeight="1" x14ac:dyDescent="0.25">
      <c r="A32" s="3" t="s">
        <v>45</v>
      </c>
      <c r="B32" s="3"/>
      <c r="C32" s="5"/>
      <c r="D32" s="5"/>
      <c r="E32" s="5">
        <v>199.5</v>
      </c>
      <c r="F32" s="4">
        <v>57</v>
      </c>
      <c r="G32" s="4">
        <v>441</v>
      </c>
      <c r="H32" s="4"/>
      <c r="I32" s="4"/>
      <c r="J32" s="4"/>
      <c r="K32" s="4"/>
      <c r="L32" s="4"/>
      <c r="M32" s="4"/>
      <c r="O32" s="5">
        <f t="shared" si="14"/>
        <v>697.5</v>
      </c>
    </row>
    <row r="33" spans="1:16" ht="12" customHeight="1" x14ac:dyDescent="0.25">
      <c r="A33" s="3" t="s">
        <v>21</v>
      </c>
      <c r="B33" s="3"/>
      <c r="C33" s="4"/>
      <c r="D33" s="4">
        <v>60</v>
      </c>
      <c r="E33" s="4"/>
      <c r="F33" s="5"/>
      <c r="G33" s="4"/>
      <c r="H33" s="4"/>
      <c r="I33" s="4"/>
      <c r="J33" s="4"/>
      <c r="K33" s="4"/>
      <c r="L33" s="4"/>
      <c r="M33" s="4"/>
      <c r="O33" s="5">
        <f t="shared" si="14"/>
        <v>60</v>
      </c>
    </row>
    <row r="34" spans="1:16" ht="12" customHeight="1" x14ac:dyDescent="0.25">
      <c r="A34" s="3" t="s">
        <v>43</v>
      </c>
      <c r="B34" s="3"/>
      <c r="C34" s="4"/>
      <c r="D34" s="4"/>
      <c r="E34" s="4">
        <v>62.2</v>
      </c>
      <c r="F34" s="5">
        <v>170.38</v>
      </c>
      <c r="G34" s="4">
        <v>64.260000000000005</v>
      </c>
      <c r="H34" s="4"/>
      <c r="I34" s="4"/>
      <c r="J34" s="4"/>
      <c r="K34" s="4"/>
      <c r="L34" s="4"/>
      <c r="M34" s="4"/>
      <c r="N34" s="4"/>
      <c r="O34" s="5">
        <f t="shared" si="14"/>
        <v>296.83999999999997</v>
      </c>
    </row>
    <row r="35" spans="1:16" ht="12" customHeight="1" x14ac:dyDescent="0.25">
      <c r="A35" s="3" t="s">
        <v>22</v>
      </c>
      <c r="B35" s="3"/>
      <c r="C35" s="4"/>
      <c r="D35" s="4"/>
      <c r="E35" s="5"/>
      <c r="F35" s="4"/>
      <c r="G35" s="4">
        <v>7.02</v>
      </c>
      <c r="H35" s="4">
        <v>55.67</v>
      </c>
      <c r="I35" s="4"/>
      <c r="J35" s="4"/>
      <c r="K35" s="4"/>
      <c r="L35" s="4"/>
      <c r="M35" s="4"/>
      <c r="O35" s="5">
        <f t="shared" si="14"/>
        <v>62.69</v>
      </c>
    </row>
    <row r="36" spans="1:16" ht="12" customHeight="1" x14ac:dyDescent="0.25">
      <c r="A36" s="3" t="s">
        <v>51</v>
      </c>
      <c r="B36" s="3"/>
      <c r="C36" s="4">
        <v>103.5</v>
      </c>
      <c r="D36" s="4"/>
      <c r="E36" s="5"/>
      <c r="F36" s="4"/>
      <c r="G36" s="4"/>
      <c r="H36" s="4"/>
      <c r="I36" s="4"/>
      <c r="J36" s="4"/>
      <c r="K36" s="4"/>
      <c r="L36" s="4"/>
      <c r="M36" s="4"/>
      <c r="O36" s="5">
        <f t="shared" si="14"/>
        <v>103.5</v>
      </c>
    </row>
    <row r="37" spans="1:16" ht="12" customHeight="1" x14ac:dyDescent="0.25">
      <c r="A37" s="3" t="s">
        <v>23</v>
      </c>
      <c r="B37" s="3"/>
      <c r="C37" s="5">
        <v>483.75</v>
      </c>
      <c r="D37" s="5">
        <v>270</v>
      </c>
      <c r="E37" s="5">
        <v>202.5</v>
      </c>
      <c r="F37" s="5">
        <v>202.5</v>
      </c>
      <c r="G37" s="5">
        <v>202.5</v>
      </c>
      <c r="H37" s="5">
        <v>22.38</v>
      </c>
      <c r="I37" s="5"/>
      <c r="J37" s="5"/>
      <c r="K37" s="5"/>
      <c r="L37" s="5"/>
      <c r="M37" s="5"/>
      <c r="N37" s="5"/>
      <c r="O37" s="5">
        <f t="shared" si="14"/>
        <v>1383.63</v>
      </c>
    </row>
    <row r="38" spans="1:16" ht="12" customHeight="1" x14ac:dyDescent="0.25">
      <c r="A38" s="3" t="s">
        <v>24</v>
      </c>
      <c r="B38" s="3"/>
      <c r="C38" s="6">
        <f t="shared" ref="C38:N38" si="15">+C20+C21+C22+C23+C24+C28+C29+C30+C31+C32+C33+C34+C35+C36+C37</f>
        <v>790.44</v>
      </c>
      <c r="D38" s="6">
        <f t="shared" si="15"/>
        <v>442.5</v>
      </c>
      <c r="E38" s="6">
        <f t="shared" si="15"/>
        <v>664.22</v>
      </c>
      <c r="F38" s="6">
        <f t="shared" si="15"/>
        <v>542.38</v>
      </c>
      <c r="G38" s="6">
        <f t="shared" si="15"/>
        <v>1022.39</v>
      </c>
      <c r="H38" s="6">
        <f t="shared" si="15"/>
        <v>338.81</v>
      </c>
      <c r="I38" s="6">
        <f t="shared" si="15"/>
        <v>0</v>
      </c>
      <c r="J38" s="6">
        <f t="shared" si="15"/>
        <v>0</v>
      </c>
      <c r="K38" s="6">
        <f t="shared" si="15"/>
        <v>0</v>
      </c>
      <c r="L38" s="6">
        <f t="shared" si="15"/>
        <v>0</v>
      </c>
      <c r="M38" s="6">
        <f t="shared" si="15"/>
        <v>0</v>
      </c>
      <c r="N38" s="6">
        <f t="shared" si="15"/>
        <v>0</v>
      </c>
      <c r="O38" s="7">
        <f t="shared" si="14"/>
        <v>3800.74</v>
      </c>
    </row>
    <row r="39" spans="1:16" ht="12" customHeight="1" x14ac:dyDescent="0.25">
      <c r="A39" s="3" t="s">
        <v>25</v>
      </c>
      <c r="B39" s="3"/>
      <c r="C39" s="6">
        <f t="shared" ref="C39:N39" si="16">C38</f>
        <v>790.44</v>
      </c>
      <c r="D39" s="6">
        <f t="shared" si="16"/>
        <v>442.5</v>
      </c>
      <c r="E39" s="6">
        <f t="shared" si="16"/>
        <v>664.22</v>
      </c>
      <c r="F39" s="6">
        <f t="shared" si="16"/>
        <v>542.38</v>
      </c>
      <c r="G39" s="6">
        <f t="shared" si="16"/>
        <v>1022.39</v>
      </c>
      <c r="H39" s="6">
        <f t="shared" si="16"/>
        <v>338.81</v>
      </c>
      <c r="I39" s="6">
        <f t="shared" si="16"/>
        <v>0</v>
      </c>
      <c r="J39" s="6">
        <f t="shared" si="16"/>
        <v>0</v>
      </c>
      <c r="K39" s="6">
        <f t="shared" si="16"/>
        <v>0</v>
      </c>
      <c r="L39" s="6">
        <f t="shared" si="16"/>
        <v>0</v>
      </c>
      <c r="M39" s="6">
        <f t="shared" si="16"/>
        <v>0</v>
      </c>
      <c r="N39" s="6">
        <f t="shared" si="16"/>
        <v>0</v>
      </c>
      <c r="O39" s="7">
        <f t="shared" si="14"/>
        <v>3800.74</v>
      </c>
    </row>
    <row r="40" spans="1:16" ht="12" customHeight="1" x14ac:dyDescent="0.25">
      <c r="A40" s="3" t="s">
        <v>26</v>
      </c>
      <c r="B40" s="3"/>
      <c r="C40" s="6">
        <f t="shared" ref="C40:N40" si="17">(((C17)-(C39))+(0))-(0)</f>
        <v>6739</v>
      </c>
      <c r="D40" s="6">
        <f t="shared" si="17"/>
        <v>6285.86</v>
      </c>
      <c r="E40" s="6">
        <f t="shared" si="17"/>
        <v>5340.9299999999994</v>
      </c>
      <c r="F40" s="6">
        <f t="shared" si="17"/>
        <v>6063.079999999999</v>
      </c>
      <c r="G40" s="6">
        <f t="shared" si="17"/>
        <v>5639.829999999999</v>
      </c>
      <c r="H40" s="6">
        <f t="shared" si="17"/>
        <v>-806.4</v>
      </c>
      <c r="I40" s="6">
        <f t="shared" si="17"/>
        <v>0</v>
      </c>
      <c r="J40" s="6">
        <f t="shared" si="17"/>
        <v>0</v>
      </c>
      <c r="K40" s="6">
        <f t="shared" si="17"/>
        <v>0</v>
      </c>
      <c r="L40" s="6">
        <f t="shared" si="17"/>
        <v>0</v>
      </c>
      <c r="M40" s="6">
        <f t="shared" si="17"/>
        <v>0</v>
      </c>
      <c r="N40" s="6">
        <f t="shared" si="17"/>
        <v>0</v>
      </c>
      <c r="O40" s="46">
        <f t="shared" si="14"/>
        <v>29262.299999999996</v>
      </c>
    </row>
    <row r="41" spans="1:16" x14ac:dyDescent="0.25">
      <c r="A41" s="3"/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O41" s="4"/>
    </row>
    <row r="42" spans="1:16" ht="12" customHeight="1" x14ac:dyDescent="0.25">
      <c r="A42" s="10" t="s">
        <v>46</v>
      </c>
      <c r="B42" s="10"/>
      <c r="C42" s="11"/>
      <c r="D42" s="11"/>
      <c r="E42" s="11"/>
      <c r="F42" s="11"/>
      <c r="G42" s="12"/>
      <c r="H42" s="12"/>
      <c r="I42" s="12"/>
      <c r="J42" s="12"/>
      <c r="K42" s="12"/>
      <c r="L42" s="12"/>
      <c r="M42" s="12"/>
      <c r="N42" s="12"/>
      <c r="O42" s="13"/>
    </row>
    <row r="43" spans="1:16" ht="12" customHeight="1" x14ac:dyDescent="0.25">
      <c r="A43" s="14" t="s">
        <v>27</v>
      </c>
      <c r="B43" s="15" t="s">
        <v>28</v>
      </c>
      <c r="C43" s="16">
        <f>+C10/C47</f>
        <v>168.24826378313591</v>
      </c>
      <c r="D43" s="16">
        <f t="shared" ref="D43:H43" si="18">+D10/D47</f>
        <v>124.1664468807581</v>
      </c>
      <c r="E43" s="16">
        <f t="shared" si="18"/>
        <v>114.20101687600952</v>
      </c>
      <c r="F43" s="16">
        <f t="shared" si="18"/>
        <v>104.24024181895452</v>
      </c>
      <c r="G43" s="16">
        <f t="shared" si="18"/>
        <v>113.67369613333931</v>
      </c>
      <c r="H43" s="16">
        <f t="shared" si="18"/>
        <v>0</v>
      </c>
      <c r="I43" s="16"/>
      <c r="J43" s="16"/>
      <c r="K43" s="16"/>
      <c r="L43" s="16"/>
      <c r="M43" s="16"/>
      <c r="N43" s="16"/>
      <c r="O43" s="17">
        <f>SUM(C43:N43)</f>
        <v>624.52966549219741</v>
      </c>
    </row>
    <row r="44" spans="1:16" ht="12" customHeight="1" x14ac:dyDescent="0.25">
      <c r="A44" s="18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12"/>
      <c r="O44" s="13"/>
    </row>
    <row r="45" spans="1:16" ht="12" customHeight="1" x14ac:dyDescent="0.25">
      <c r="A45" s="14" t="s">
        <v>55</v>
      </c>
      <c r="B45" s="15" t="s">
        <v>29</v>
      </c>
      <c r="C45" s="16">
        <f>+'100% 10-7'!C45*0.15</f>
        <v>4.3949999999999996</v>
      </c>
      <c r="D45" s="16">
        <f>+'100% 10-7'!D45*0.15</f>
        <v>4.62</v>
      </c>
      <c r="E45" s="16">
        <f>+'100% 10-7'!E45*0.15</f>
        <v>4.2450000000000001</v>
      </c>
      <c r="F45" s="16">
        <f>+'100% 10-7'!F45*0.15</f>
        <v>3.7650000000000001</v>
      </c>
      <c r="G45" s="16">
        <f>+'100% 10-7'!G45*0.15</f>
        <v>3.4499999999999997</v>
      </c>
      <c r="H45" s="16">
        <f>+'100% 10-7'!H45*0.15</f>
        <v>4.2450000000000001</v>
      </c>
      <c r="I45" s="16"/>
      <c r="J45" s="16"/>
      <c r="K45" s="16"/>
      <c r="L45" s="16"/>
      <c r="M45" s="16"/>
      <c r="N45" s="45"/>
      <c r="O45" s="17">
        <f>SUM(C45:N45)/6</f>
        <v>4.12</v>
      </c>
    </row>
    <row r="46" spans="1:16" ht="12" customHeight="1" x14ac:dyDescent="0.25">
      <c r="A46" s="18"/>
      <c r="B46" s="10"/>
      <c r="C46" s="21"/>
      <c r="D46" s="11"/>
      <c r="E46" s="11"/>
      <c r="F46" s="11"/>
      <c r="G46" s="12"/>
      <c r="H46" s="12"/>
      <c r="I46" s="12"/>
      <c r="J46" s="12"/>
      <c r="K46" s="12"/>
      <c r="L46" s="12"/>
      <c r="M46" s="12"/>
      <c r="N46" s="12"/>
      <c r="O46" s="22"/>
    </row>
    <row r="47" spans="1:16" ht="12" customHeight="1" x14ac:dyDescent="0.25">
      <c r="A47" s="14" t="s">
        <v>27</v>
      </c>
      <c r="B47" s="15" t="s">
        <v>30</v>
      </c>
      <c r="C47" s="20">
        <f>283.68/6.289</f>
        <v>45.107330259182703</v>
      </c>
      <c r="D47" s="23">
        <f>379.9/6.289</f>
        <v>60.407059945937348</v>
      </c>
      <c r="E47" s="23">
        <f>414.79/6.289</f>
        <v>65.954841787247588</v>
      </c>
      <c r="F47" s="23">
        <f>447.07/6.289</f>
        <v>71.087613293051362</v>
      </c>
      <c r="G47" s="24">
        <f>446.38/6.289</f>
        <v>70.977897916997932</v>
      </c>
      <c r="H47" s="24">
        <f>346.36/6.289</f>
        <v>55.073938622992529</v>
      </c>
      <c r="I47" s="24"/>
      <c r="J47" s="24"/>
      <c r="K47" s="24"/>
      <c r="L47" s="24"/>
      <c r="M47" s="24"/>
      <c r="N47" s="47"/>
      <c r="O47" s="17">
        <f>SUM(C47:N47)/6</f>
        <v>61.434780304234913</v>
      </c>
    </row>
    <row r="48" spans="1:16" ht="12" customHeight="1" x14ac:dyDescent="0.25">
      <c r="A48" s="18"/>
      <c r="B48" s="10"/>
      <c r="C48" s="25"/>
      <c r="D48" s="26"/>
      <c r="E48" s="26"/>
      <c r="F48" s="26"/>
      <c r="P48" s="27"/>
    </row>
    <row r="49" spans="1:15" ht="12" customHeight="1" x14ac:dyDescent="0.25">
      <c r="A49" s="14" t="s">
        <v>31</v>
      </c>
      <c r="B49" s="15" t="s">
        <v>32</v>
      </c>
      <c r="C49" s="28">
        <f>+C12</f>
        <v>7589.23</v>
      </c>
      <c r="D49" s="28">
        <f t="shared" ref="D49:H49" si="19">+D12</f>
        <v>7500.53</v>
      </c>
      <c r="E49" s="28">
        <f t="shared" si="19"/>
        <v>7532.11</v>
      </c>
      <c r="F49" s="28">
        <f t="shared" si="19"/>
        <v>7410.19</v>
      </c>
      <c r="G49" s="28">
        <f t="shared" si="19"/>
        <v>8068.32</v>
      </c>
      <c r="H49" s="28">
        <f t="shared" si="19"/>
        <v>0</v>
      </c>
      <c r="I49" s="28"/>
      <c r="J49" s="28"/>
      <c r="K49" s="28"/>
      <c r="L49" s="28"/>
      <c r="M49" s="28"/>
      <c r="N49" s="28"/>
      <c r="O49" s="29">
        <f>SUM(C49:N49)</f>
        <v>38100.379999999997</v>
      </c>
    </row>
    <row r="50" spans="1:15" ht="12" customHeight="1" x14ac:dyDescent="0.25">
      <c r="A50" s="14" t="s">
        <v>33</v>
      </c>
      <c r="B50" s="15" t="s">
        <v>32</v>
      </c>
      <c r="C50" s="28">
        <f>+C15</f>
        <v>-59.79</v>
      </c>
      <c r="D50" s="28">
        <f t="shared" ref="D50:H50" si="20">+D15</f>
        <v>-772.17</v>
      </c>
      <c r="E50" s="28">
        <f t="shared" si="20"/>
        <v>-1526.96</v>
      </c>
      <c r="F50" s="28">
        <f t="shared" si="20"/>
        <v>-804.73</v>
      </c>
      <c r="G50" s="28">
        <f t="shared" si="20"/>
        <v>-1406.1</v>
      </c>
      <c r="H50" s="28">
        <f t="shared" si="20"/>
        <v>-467.59</v>
      </c>
      <c r="I50" s="28"/>
      <c r="J50" s="28"/>
      <c r="K50" s="28"/>
      <c r="L50" s="28"/>
      <c r="M50" s="28"/>
      <c r="N50" s="28"/>
      <c r="O50" s="29">
        <f>SUM(C50:N50)</f>
        <v>-5037.34</v>
      </c>
    </row>
    <row r="51" spans="1:15" ht="12" customHeight="1" x14ac:dyDescent="0.25">
      <c r="A51" s="14" t="s">
        <v>34</v>
      </c>
      <c r="B51" s="15" t="s">
        <v>32</v>
      </c>
      <c r="C51" s="28">
        <f>+C38</f>
        <v>790.44</v>
      </c>
      <c r="D51" s="28">
        <f t="shared" ref="D51:H51" si="21">+D38</f>
        <v>442.5</v>
      </c>
      <c r="E51" s="28">
        <f t="shared" si="21"/>
        <v>664.22</v>
      </c>
      <c r="F51" s="28">
        <f t="shared" si="21"/>
        <v>542.38</v>
      </c>
      <c r="G51" s="28">
        <f t="shared" si="21"/>
        <v>1022.39</v>
      </c>
      <c r="H51" s="28">
        <f t="shared" si="21"/>
        <v>338.81</v>
      </c>
      <c r="I51" s="28"/>
      <c r="J51" s="28"/>
      <c r="K51" s="28"/>
      <c r="L51" s="28"/>
      <c r="M51" s="28"/>
      <c r="N51" s="28"/>
      <c r="O51" s="29">
        <f>SUM(C51:N51)</f>
        <v>3800.74</v>
      </c>
    </row>
    <row r="52" spans="1:15" ht="12" customHeight="1" x14ac:dyDescent="0.25">
      <c r="A52" s="18" t="s">
        <v>31</v>
      </c>
      <c r="B52" s="19" t="s">
        <v>30</v>
      </c>
      <c r="C52" s="30">
        <f>+C49/C43</f>
        <v>45.107330259182703</v>
      </c>
      <c r="D52" s="30">
        <f t="shared" ref="D52:G52" si="22">+D49/D43</f>
        <v>60.407059945937348</v>
      </c>
      <c r="E52" s="30">
        <f t="shared" si="22"/>
        <v>65.954841787247588</v>
      </c>
      <c r="F52" s="30">
        <f t="shared" si="22"/>
        <v>71.087613293051362</v>
      </c>
      <c r="G52" s="30">
        <f t="shared" si="22"/>
        <v>70.977897916997932</v>
      </c>
      <c r="H52" s="30">
        <v>0</v>
      </c>
      <c r="I52" s="30"/>
      <c r="J52" s="30"/>
      <c r="K52" s="30"/>
      <c r="L52" s="30"/>
      <c r="M52" s="30"/>
      <c r="N52" s="30"/>
      <c r="O52" s="31">
        <f>SUM(C52:N52)/5</f>
        <v>62.70694864048339</v>
      </c>
    </row>
    <row r="53" spans="1:15" ht="12" customHeight="1" x14ac:dyDescent="0.25">
      <c r="A53" s="14" t="s">
        <v>33</v>
      </c>
      <c r="B53" s="15" t="s">
        <v>30</v>
      </c>
      <c r="C53" s="32">
        <f>+C50/C43</f>
        <v>-0.35536770873942863</v>
      </c>
      <c r="D53" s="32">
        <f t="shared" ref="D53:G53" si="23">+D50/D43</f>
        <v>-6.2188297998214042</v>
      </c>
      <c r="E53" s="32">
        <f t="shared" si="23"/>
        <v>-13.370809137871802</v>
      </c>
      <c r="F53" s="32">
        <f t="shared" si="23"/>
        <v>-7.7199552299357004</v>
      </c>
      <c r="G53" s="32">
        <f t="shared" si="23"/>
        <v>-12.369616259777846</v>
      </c>
      <c r="H53" s="32">
        <v>0</v>
      </c>
      <c r="I53" s="32"/>
      <c r="J53" s="32"/>
      <c r="K53" s="32"/>
      <c r="L53" s="32"/>
      <c r="M53" s="32"/>
      <c r="N53" s="32"/>
      <c r="O53" s="33">
        <f>SUM(C53:N53)/5</f>
        <v>-8.0069156272292368</v>
      </c>
    </row>
    <row r="54" spans="1:15" ht="12" customHeight="1" x14ac:dyDescent="0.25">
      <c r="A54" s="14" t="s">
        <v>34</v>
      </c>
      <c r="B54" s="15" t="s">
        <v>30</v>
      </c>
      <c r="C54" s="32">
        <f>+C51/C43</f>
        <v>4.6980573958185978</v>
      </c>
      <c r="D54" s="32">
        <f t="shared" ref="D54:G54" si="24">+D51/D43</f>
        <v>3.563764697438351</v>
      </c>
      <c r="E54" s="32">
        <f t="shared" si="24"/>
        <v>5.8162354256543782</v>
      </c>
      <c r="F54" s="32">
        <f t="shared" si="24"/>
        <v>5.2031728873193801</v>
      </c>
      <c r="G54" s="32">
        <f t="shared" si="24"/>
        <v>8.994077212029211</v>
      </c>
      <c r="H54" s="32">
        <v>0</v>
      </c>
      <c r="I54" s="32"/>
      <c r="J54" s="32"/>
      <c r="K54" s="32"/>
      <c r="L54" s="32"/>
      <c r="M54" s="32"/>
      <c r="N54" s="32"/>
      <c r="O54" s="34">
        <f>SUM(C54:N54)/5</f>
        <v>5.6550615236519839</v>
      </c>
    </row>
    <row r="55" spans="1:15" ht="12" customHeight="1" x14ac:dyDescent="0.25">
      <c r="A55" s="18" t="s">
        <v>35</v>
      </c>
      <c r="B55" s="19" t="s">
        <v>30</v>
      </c>
      <c r="C55" s="30">
        <f>+C52+C53-C54</f>
        <v>40.053905154624672</v>
      </c>
      <c r="D55" s="30">
        <f t="shared" ref="D55:H55" si="25">+D52+D53-D54</f>
        <v>50.62446544867759</v>
      </c>
      <c r="E55" s="30">
        <f t="shared" si="25"/>
        <v>46.767797223721409</v>
      </c>
      <c r="F55" s="30">
        <f t="shared" si="25"/>
        <v>58.16448517579628</v>
      </c>
      <c r="G55" s="30">
        <f t="shared" si="25"/>
        <v>49.614204445190879</v>
      </c>
      <c r="H55" s="30">
        <f t="shared" si="25"/>
        <v>0</v>
      </c>
      <c r="I55" s="30"/>
      <c r="J55" s="30"/>
      <c r="K55" s="30"/>
      <c r="L55" s="30"/>
      <c r="M55" s="30"/>
      <c r="N55" s="30"/>
      <c r="O55" s="31">
        <f>SUM(C55:N55)/6</f>
        <v>40.870809574668471</v>
      </c>
    </row>
    <row r="56" spans="1:15" ht="12" customHeight="1" x14ac:dyDescent="0.25">
      <c r="A56" s="18" t="s">
        <v>36</v>
      </c>
      <c r="B56" s="35" t="s">
        <v>37</v>
      </c>
      <c r="C56" s="30">
        <f>-C14/C10*100</f>
        <v>0.78782696004733033</v>
      </c>
      <c r="D56" s="30">
        <f t="shared" ref="D56:G56" si="26">-D14/D10*100</f>
        <v>10.294872495676973</v>
      </c>
      <c r="E56" s="30">
        <f t="shared" si="26"/>
        <v>20.272672597718302</v>
      </c>
      <c r="F56" s="30">
        <f t="shared" si="26"/>
        <v>10.859775525323913</v>
      </c>
      <c r="G56" s="30">
        <f t="shared" si="26"/>
        <v>17.427419834612408</v>
      </c>
      <c r="H56" s="30">
        <f>-H50/(H45*30*H47)*100</f>
        <v>6.666841483811468</v>
      </c>
      <c r="I56" s="30"/>
      <c r="J56" s="30"/>
      <c r="K56" s="30"/>
      <c r="L56" s="30"/>
      <c r="M56" s="30"/>
      <c r="N56" s="30"/>
      <c r="O56" s="31">
        <f>SUM(C56:N56)/6</f>
        <v>11.051568149531732</v>
      </c>
    </row>
    <row r="57" spans="1:15" ht="12" customHeight="1" x14ac:dyDescent="0.25">
      <c r="A57" s="14" t="s">
        <v>38</v>
      </c>
      <c r="B57" s="36" t="s">
        <v>37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/>
      <c r="J57" s="32"/>
      <c r="K57" s="32"/>
      <c r="L57" s="32"/>
      <c r="M57" s="32"/>
      <c r="N57" s="32"/>
      <c r="O57" s="34">
        <f>SUM(C57:N57)/6</f>
        <v>0</v>
      </c>
    </row>
    <row r="58" spans="1:15" ht="12" customHeight="1" x14ac:dyDescent="0.25">
      <c r="A58" s="18" t="s">
        <v>39</v>
      </c>
      <c r="B58" s="35" t="s">
        <v>37</v>
      </c>
      <c r="C58" s="30">
        <f>+C50/C49*100</f>
        <v>-0.78782696004733033</v>
      </c>
      <c r="D58" s="30">
        <f t="shared" ref="D58:G58" si="27">+D50/D49*100</f>
        <v>-10.294872495676973</v>
      </c>
      <c r="E58" s="30">
        <f t="shared" si="27"/>
        <v>-20.272672597718302</v>
      </c>
      <c r="F58" s="30">
        <f t="shared" si="27"/>
        <v>-10.859775525323913</v>
      </c>
      <c r="G58" s="30">
        <f t="shared" si="27"/>
        <v>-17.427419834612408</v>
      </c>
      <c r="H58" s="30">
        <f>-H56</f>
        <v>-6.666841483811468</v>
      </c>
      <c r="I58" s="30"/>
      <c r="J58" s="30"/>
      <c r="K58" s="30"/>
      <c r="L58" s="30"/>
      <c r="M58" s="30"/>
      <c r="N58" s="30"/>
      <c r="O58" s="31">
        <f>SUM(C58:N58)/6</f>
        <v>-11.051568149531732</v>
      </c>
    </row>
    <row r="59" spans="1:15" ht="12" customHeight="1" x14ac:dyDescent="0.25">
      <c r="A59" s="14" t="s">
        <v>40</v>
      </c>
      <c r="B59" s="36" t="s">
        <v>37</v>
      </c>
      <c r="C59" s="32">
        <f>C51/C49*100</f>
        <v>10.415285872216288</v>
      </c>
      <c r="D59" s="32">
        <f t="shared" ref="D59:G59" si="28">D51/D49*100</f>
        <v>5.8995830961278735</v>
      </c>
      <c r="E59" s="32">
        <f t="shared" si="28"/>
        <v>8.818511678666404</v>
      </c>
      <c r="F59" s="32">
        <f t="shared" si="28"/>
        <v>7.31938047472467</v>
      </c>
      <c r="G59" s="32">
        <f t="shared" si="28"/>
        <v>12.671659031867849</v>
      </c>
      <c r="H59" s="32">
        <v>0</v>
      </c>
      <c r="I59" s="32"/>
      <c r="J59" s="32"/>
      <c r="K59" s="32"/>
      <c r="L59" s="32"/>
      <c r="M59" s="32"/>
      <c r="N59" s="32"/>
      <c r="O59" s="33">
        <f>SUM(C59:N59)/5</f>
        <v>9.0248840307206173</v>
      </c>
    </row>
    <row r="60" spans="1:15" ht="12" customHeight="1" x14ac:dyDescent="0.25">
      <c r="A60" s="37" t="s">
        <v>41</v>
      </c>
      <c r="B60" s="38" t="s">
        <v>37</v>
      </c>
      <c r="C60" s="39">
        <f>C51/(C49+C50)*100</f>
        <v>10.497991882530441</v>
      </c>
      <c r="D60" s="39">
        <f t="shared" ref="D60:G60" si="29">D51/(D49+D50)*100</f>
        <v>6.5766397755173625</v>
      </c>
      <c r="E60" s="39">
        <f t="shared" si="29"/>
        <v>11.060839446142062</v>
      </c>
      <c r="F60" s="39">
        <f t="shared" si="29"/>
        <v>8.2110859803859242</v>
      </c>
      <c r="G60" s="39">
        <f t="shared" si="29"/>
        <v>15.346085839254783</v>
      </c>
      <c r="H60" s="39">
        <v>0</v>
      </c>
      <c r="I60" s="39"/>
      <c r="J60" s="39"/>
      <c r="K60" s="39"/>
      <c r="L60" s="39"/>
      <c r="M60" s="39"/>
      <c r="N60" s="39"/>
      <c r="O60" s="34">
        <f>SUM(C60:N60)/5</f>
        <v>10.338528584766115</v>
      </c>
    </row>
  </sheetData>
  <mergeCells count="3">
    <mergeCell ref="A1:O1"/>
    <mergeCell ref="A2:O2"/>
    <mergeCell ref="A3:O3"/>
  </mergeCells>
  <pageMargins left="0.23622047244094491" right="0.23622047244094491" top="0.35433070866141736" bottom="0.35433070866141736" header="0" footer="0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workbookViewId="0">
      <selection activeCell="O61" sqref="O61"/>
    </sheetView>
  </sheetViews>
  <sheetFormatPr defaultRowHeight="15" x14ac:dyDescent="0.25"/>
  <cols>
    <col min="1" max="1" width="30.140625" style="49" customWidth="1"/>
    <col min="2" max="2" width="7.5703125" style="49" customWidth="1"/>
    <col min="3" max="3" width="9.28515625" style="49" bestFit="1" customWidth="1"/>
    <col min="4" max="4" width="9.5703125" style="49" bestFit="1" customWidth="1"/>
    <col min="5" max="5" width="10.140625" style="49" bestFit="1" customWidth="1"/>
    <col min="6" max="14" width="9.42578125" style="49" customWidth="1"/>
    <col min="15" max="15" width="13.140625" style="49" bestFit="1" customWidth="1"/>
    <col min="16" max="16" width="9.5703125" style="49" bestFit="1" customWidth="1"/>
    <col min="17" max="16384" width="9.140625" style="49"/>
  </cols>
  <sheetData>
    <row r="1" spans="1:16" ht="18" x14ac:dyDescent="0.25">
      <c r="A1" s="51" t="s">
        <v>0</v>
      </c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6" ht="18" x14ac:dyDescent="0.25">
      <c r="A2" s="51" t="s">
        <v>52</v>
      </c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6" x14ac:dyDescent="0.25">
      <c r="A3" s="53" t="s">
        <v>59</v>
      </c>
      <c r="B3" s="53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5" spans="1:16" ht="12" customHeight="1" x14ac:dyDescent="0.25">
      <c r="A5" s="1"/>
      <c r="B5" s="1"/>
      <c r="C5" s="40">
        <v>43466</v>
      </c>
      <c r="D5" s="40">
        <v>43514</v>
      </c>
      <c r="E5" s="40">
        <v>43542</v>
      </c>
      <c r="F5" s="40">
        <v>43573</v>
      </c>
      <c r="G5" s="40">
        <v>43603</v>
      </c>
      <c r="H5" s="40">
        <v>43634</v>
      </c>
      <c r="I5" s="40">
        <v>43664</v>
      </c>
      <c r="J5" s="40">
        <v>43695</v>
      </c>
      <c r="K5" s="40">
        <v>43726</v>
      </c>
      <c r="L5" s="40">
        <v>43756</v>
      </c>
      <c r="M5" s="40">
        <v>43787</v>
      </c>
      <c r="N5" s="40">
        <v>43817</v>
      </c>
      <c r="O5" s="2" t="s">
        <v>1</v>
      </c>
    </row>
    <row r="6" spans="1:16" ht="12" customHeight="1" x14ac:dyDescent="0.25">
      <c r="A6" s="3" t="s">
        <v>2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O6" s="4"/>
    </row>
    <row r="7" spans="1:16" ht="12" customHeight="1" x14ac:dyDescent="0.25">
      <c r="A7" s="3" t="s">
        <v>3</v>
      </c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O7" s="5"/>
    </row>
    <row r="8" spans="1:16" ht="12" customHeight="1" x14ac:dyDescent="0.25">
      <c r="A8" s="3" t="s">
        <v>54</v>
      </c>
      <c r="B8" s="3"/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/>
      <c r="J8" s="4"/>
      <c r="K8" s="4"/>
      <c r="L8" s="4"/>
      <c r="M8" s="4"/>
      <c r="N8" s="4"/>
      <c r="O8" s="5">
        <f>SUM(C8:N8)</f>
        <v>0</v>
      </c>
    </row>
    <row r="9" spans="1:16" ht="12" customHeight="1" x14ac:dyDescent="0.25">
      <c r="A9" s="3" t="s">
        <v>4</v>
      </c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O9" s="5"/>
    </row>
    <row r="10" spans="1:16" ht="12" customHeight="1" x14ac:dyDescent="0.25">
      <c r="A10" s="3" t="s">
        <v>5</v>
      </c>
      <c r="B10" s="3"/>
      <c r="C10" s="5">
        <f>+'15% 10-7'!C10/0.15</f>
        <v>50594.866666666669</v>
      </c>
      <c r="D10" s="5">
        <f>+'15% 10-7'!D10/0.15</f>
        <v>50003.533333333333</v>
      </c>
      <c r="E10" s="5">
        <f>+'15% 10-7'!E10/0.15</f>
        <v>50214.066666666666</v>
      </c>
      <c r="F10" s="5">
        <f>+'15% 10-7'!F10/0.15</f>
        <v>49401.266666666663</v>
      </c>
      <c r="G10" s="5">
        <f>+'15% 10-7'!G10/0.15</f>
        <v>53788.800000000003</v>
      </c>
      <c r="H10" s="5">
        <f>+'15% 10-7'!H10/0.15</f>
        <v>0</v>
      </c>
      <c r="I10" s="5"/>
      <c r="J10" s="5"/>
      <c r="K10" s="5"/>
      <c r="L10" s="5"/>
      <c r="M10" s="5"/>
      <c r="O10" s="5">
        <f t="shared" ref="O10:O12" si="0">SUM(C10:N10)</f>
        <v>254002.53333333333</v>
      </c>
    </row>
    <row r="11" spans="1:16" ht="12" customHeight="1" x14ac:dyDescent="0.25">
      <c r="A11" s="3" t="s">
        <v>6</v>
      </c>
      <c r="B11" s="3"/>
      <c r="C11" s="6">
        <f t="shared" ref="C11:N11" si="1">(C9)+(C10)</f>
        <v>50594.866666666669</v>
      </c>
      <c r="D11" s="6">
        <f t="shared" ref="D11:H11" si="2">(D9)+(D10)</f>
        <v>50003.533333333333</v>
      </c>
      <c r="E11" s="6">
        <f t="shared" si="2"/>
        <v>50214.066666666666</v>
      </c>
      <c r="F11" s="6">
        <f t="shared" si="2"/>
        <v>49401.266666666663</v>
      </c>
      <c r="G11" s="6">
        <f t="shared" si="2"/>
        <v>53788.800000000003</v>
      </c>
      <c r="H11" s="6">
        <f t="shared" si="2"/>
        <v>0</v>
      </c>
      <c r="I11" s="6">
        <f t="shared" si="1"/>
        <v>0</v>
      </c>
      <c r="J11" s="6">
        <f t="shared" si="1"/>
        <v>0</v>
      </c>
      <c r="K11" s="6">
        <f t="shared" si="1"/>
        <v>0</v>
      </c>
      <c r="L11" s="6">
        <f t="shared" si="1"/>
        <v>0</v>
      </c>
      <c r="M11" s="6">
        <f t="shared" si="1"/>
        <v>0</v>
      </c>
      <c r="N11" s="6">
        <f t="shared" si="1"/>
        <v>0</v>
      </c>
      <c r="O11" s="7">
        <f t="shared" si="0"/>
        <v>254002.53333333333</v>
      </c>
    </row>
    <row r="12" spans="1:16" ht="12" customHeight="1" x14ac:dyDescent="0.25">
      <c r="A12" s="3" t="s">
        <v>7</v>
      </c>
      <c r="B12" s="3"/>
      <c r="C12" s="6">
        <f t="shared" ref="C12:N12" si="3">+C8+C10</f>
        <v>50594.866666666669</v>
      </c>
      <c r="D12" s="6">
        <f t="shared" ref="D12:H12" si="4">+D8+D10</f>
        <v>50003.533333333333</v>
      </c>
      <c r="E12" s="6">
        <f t="shared" si="4"/>
        <v>50214.066666666666</v>
      </c>
      <c r="F12" s="6">
        <f t="shared" si="4"/>
        <v>49401.266666666663</v>
      </c>
      <c r="G12" s="6">
        <f t="shared" si="4"/>
        <v>53788.800000000003</v>
      </c>
      <c r="H12" s="6">
        <f t="shared" si="4"/>
        <v>0</v>
      </c>
      <c r="I12" s="6">
        <f t="shared" si="3"/>
        <v>0</v>
      </c>
      <c r="J12" s="6">
        <f>+J8+J10</f>
        <v>0</v>
      </c>
      <c r="K12" s="6">
        <f>+K8+K10</f>
        <v>0</v>
      </c>
      <c r="L12" s="6">
        <f t="shared" si="3"/>
        <v>0</v>
      </c>
      <c r="M12" s="6">
        <f t="shared" si="3"/>
        <v>0</v>
      </c>
      <c r="N12" s="6">
        <f t="shared" si="3"/>
        <v>0</v>
      </c>
      <c r="O12" s="46">
        <f t="shared" si="0"/>
        <v>254002.53333333333</v>
      </c>
    </row>
    <row r="13" spans="1:16" ht="12" customHeight="1" x14ac:dyDescent="0.25">
      <c r="A13" s="3" t="s">
        <v>8</v>
      </c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O13" s="5"/>
    </row>
    <row r="14" spans="1:16" ht="12" customHeight="1" x14ac:dyDescent="0.25">
      <c r="A14" s="3" t="s">
        <v>42</v>
      </c>
      <c r="B14" s="3"/>
      <c r="C14" s="5">
        <f>+'15% 10-7'!C14/0.15</f>
        <v>-398.6</v>
      </c>
      <c r="D14" s="5">
        <f>+'15% 10-7'!D14/0.15</f>
        <v>-5147.8</v>
      </c>
      <c r="E14" s="5">
        <f>+'15% 10-7'!E14/0.15</f>
        <v>-10179.733333333334</v>
      </c>
      <c r="F14" s="5">
        <f>+'15% 10-7'!F14/0.15</f>
        <v>-5364.8666666666668</v>
      </c>
      <c r="G14" s="5">
        <f>+'15% 10-7'!G14/0.15</f>
        <v>-9374</v>
      </c>
      <c r="H14" s="5">
        <f>+'15% 10-7'!H14/0.15</f>
        <v>-3117.2666666666664</v>
      </c>
      <c r="I14" s="5"/>
      <c r="J14" s="5"/>
      <c r="K14" s="5"/>
      <c r="L14" s="5"/>
      <c r="M14" s="5"/>
      <c r="N14" s="5"/>
      <c r="O14" s="5">
        <f t="shared" ref="O14:O17" si="5">SUM(C14:N14)</f>
        <v>-33582.266666666663</v>
      </c>
    </row>
    <row r="15" spans="1:16" ht="12" customHeight="1" x14ac:dyDescent="0.25">
      <c r="A15" s="3" t="s">
        <v>9</v>
      </c>
      <c r="B15" s="3"/>
      <c r="C15" s="6">
        <f t="shared" ref="C15:N15" si="6">((C13)+(C14))</f>
        <v>-398.6</v>
      </c>
      <c r="D15" s="6">
        <f t="shared" ref="D15:H15" si="7">((D13)+(D14))</f>
        <v>-5147.8</v>
      </c>
      <c r="E15" s="6">
        <f t="shared" si="7"/>
        <v>-10179.733333333334</v>
      </c>
      <c r="F15" s="6">
        <f t="shared" si="7"/>
        <v>-5364.8666666666668</v>
      </c>
      <c r="G15" s="6">
        <f t="shared" si="7"/>
        <v>-9374</v>
      </c>
      <c r="H15" s="6">
        <f t="shared" si="7"/>
        <v>-3117.2666666666664</v>
      </c>
      <c r="I15" s="6">
        <f t="shared" si="6"/>
        <v>0</v>
      </c>
      <c r="J15" s="6">
        <f t="shared" si="6"/>
        <v>0</v>
      </c>
      <c r="K15" s="6">
        <f t="shared" si="6"/>
        <v>0</v>
      </c>
      <c r="L15" s="6">
        <f t="shared" si="6"/>
        <v>0</v>
      </c>
      <c r="M15" s="6">
        <f t="shared" si="6"/>
        <v>0</v>
      </c>
      <c r="N15" s="6">
        <f t="shared" si="6"/>
        <v>0</v>
      </c>
      <c r="O15" s="7">
        <f t="shared" si="5"/>
        <v>-33582.266666666663</v>
      </c>
      <c r="P15" s="41"/>
    </row>
    <row r="16" spans="1:16" ht="12" customHeight="1" x14ac:dyDescent="0.25">
      <c r="A16" s="3" t="s">
        <v>10</v>
      </c>
      <c r="B16" s="3"/>
      <c r="C16" s="6">
        <f t="shared" ref="C16:N16" si="8">(C12)+(C15)</f>
        <v>50196.26666666667</v>
      </c>
      <c r="D16" s="6">
        <f t="shared" ref="D16:H16" si="9">(D12)+(D15)</f>
        <v>44855.73333333333</v>
      </c>
      <c r="E16" s="6">
        <f t="shared" si="9"/>
        <v>40034.333333333328</v>
      </c>
      <c r="F16" s="6">
        <f t="shared" si="9"/>
        <v>44036.399999999994</v>
      </c>
      <c r="G16" s="6">
        <f t="shared" si="9"/>
        <v>44414.8</v>
      </c>
      <c r="H16" s="6">
        <f t="shared" si="9"/>
        <v>-3117.2666666666664</v>
      </c>
      <c r="I16" s="6">
        <f t="shared" si="8"/>
        <v>0</v>
      </c>
      <c r="J16" s="6">
        <f t="shared" si="8"/>
        <v>0</v>
      </c>
      <c r="K16" s="6">
        <f t="shared" si="8"/>
        <v>0</v>
      </c>
      <c r="L16" s="6">
        <f t="shared" si="8"/>
        <v>0</v>
      </c>
      <c r="M16" s="6">
        <f t="shared" si="8"/>
        <v>0</v>
      </c>
      <c r="N16" s="6">
        <f t="shared" si="8"/>
        <v>0</v>
      </c>
      <c r="O16" s="7">
        <f t="shared" si="5"/>
        <v>220420.26666666666</v>
      </c>
      <c r="P16" s="41"/>
    </row>
    <row r="17" spans="1:15" ht="12" customHeight="1" x14ac:dyDescent="0.25">
      <c r="A17" s="3" t="s">
        <v>11</v>
      </c>
      <c r="B17" s="3"/>
      <c r="C17" s="6">
        <f t="shared" ref="C17:N17" si="10">(C16)-(0)</f>
        <v>50196.26666666667</v>
      </c>
      <c r="D17" s="6">
        <f t="shared" ref="D17:H17" si="11">(D16)-(0)</f>
        <v>44855.73333333333</v>
      </c>
      <c r="E17" s="6">
        <f t="shared" si="11"/>
        <v>40034.333333333328</v>
      </c>
      <c r="F17" s="6">
        <f t="shared" si="11"/>
        <v>44036.399999999994</v>
      </c>
      <c r="G17" s="6">
        <f t="shared" si="11"/>
        <v>44414.8</v>
      </c>
      <c r="H17" s="6">
        <f t="shared" si="11"/>
        <v>-3117.2666666666664</v>
      </c>
      <c r="I17" s="6">
        <f t="shared" si="10"/>
        <v>0</v>
      </c>
      <c r="J17" s="6">
        <f t="shared" si="10"/>
        <v>0</v>
      </c>
      <c r="K17" s="6">
        <f t="shared" si="10"/>
        <v>0</v>
      </c>
      <c r="L17" s="6">
        <f t="shared" si="10"/>
        <v>0</v>
      </c>
      <c r="M17" s="6">
        <f t="shared" si="10"/>
        <v>0</v>
      </c>
      <c r="N17" s="6">
        <f t="shared" si="10"/>
        <v>0</v>
      </c>
      <c r="O17" s="46">
        <f t="shared" si="5"/>
        <v>220420.26666666666</v>
      </c>
    </row>
    <row r="18" spans="1:15" ht="12" customHeight="1" x14ac:dyDescent="0.25">
      <c r="A18" s="3" t="s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O18" s="4"/>
    </row>
    <row r="19" spans="1:15" ht="12" customHeight="1" x14ac:dyDescent="0.25">
      <c r="A19" s="3" t="s">
        <v>13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O19" s="5"/>
    </row>
    <row r="20" spans="1:15" ht="12" customHeight="1" x14ac:dyDescent="0.25">
      <c r="A20" s="3" t="s">
        <v>48</v>
      </c>
      <c r="B20" s="3"/>
      <c r="C20" s="4">
        <f>+'15% 10-7'!C20/0.15</f>
        <v>0</v>
      </c>
      <c r="D20" s="4">
        <f>+'15% 10-7'!D20/0.15</f>
        <v>0</v>
      </c>
      <c r="E20" s="4">
        <f>+'15% 10-7'!E20/0.15</f>
        <v>0</v>
      </c>
      <c r="F20" s="4">
        <f>+'15% 10-7'!F20/0.15</f>
        <v>0</v>
      </c>
      <c r="G20" s="4">
        <f>+'15% 10-7'!G20/0.15</f>
        <v>0</v>
      </c>
      <c r="H20" s="4">
        <f>+'15% 10-7'!H20/0.15</f>
        <v>0</v>
      </c>
      <c r="I20" s="4"/>
      <c r="J20" s="4"/>
      <c r="K20" s="4"/>
      <c r="L20" s="4"/>
      <c r="M20" s="4"/>
      <c r="O20" s="5">
        <f t="shared" ref="O20:O24" si="12">SUM(C20:N20)</f>
        <v>0</v>
      </c>
    </row>
    <row r="21" spans="1:15" ht="12" customHeight="1" x14ac:dyDescent="0.25">
      <c r="A21" s="3" t="s">
        <v>14</v>
      </c>
      <c r="B21" s="3"/>
      <c r="C21" s="4">
        <f>+'15% 10-7'!C21/0.15</f>
        <v>604.6</v>
      </c>
      <c r="D21" s="4">
        <f>+'15% 10-7'!D21/0.15</f>
        <v>0</v>
      </c>
      <c r="E21" s="4">
        <f>+'15% 10-7'!E21/0.15</f>
        <v>78.2</v>
      </c>
      <c r="F21" s="4">
        <f>+'15% 10-7'!F21/0.15</f>
        <v>0</v>
      </c>
      <c r="G21" s="4">
        <f>+'15% 10-7'!G21/0.15</f>
        <v>224.8</v>
      </c>
      <c r="H21" s="4">
        <f>+'15% 10-7'!H21/0.15</f>
        <v>480.40000000000003</v>
      </c>
      <c r="I21" s="5"/>
      <c r="J21" s="4"/>
      <c r="K21" s="4"/>
      <c r="L21" s="4"/>
      <c r="M21" s="4"/>
      <c r="N21" s="4"/>
      <c r="O21" s="5">
        <f t="shared" si="12"/>
        <v>1388.0000000000002</v>
      </c>
    </row>
    <row r="22" spans="1:15" ht="12" customHeight="1" x14ac:dyDescent="0.25">
      <c r="A22" s="3" t="s">
        <v>15</v>
      </c>
      <c r="B22" s="3"/>
      <c r="C22" s="4">
        <f>+'15% 10-7'!C22/0.15</f>
        <v>750</v>
      </c>
      <c r="D22" s="4">
        <f>+'15% 10-7'!D22/0.15</f>
        <v>750</v>
      </c>
      <c r="E22" s="4">
        <f>+'15% 10-7'!E22/0.15</f>
        <v>750</v>
      </c>
      <c r="F22" s="4">
        <f>+'15% 10-7'!F22/0.15</f>
        <v>750</v>
      </c>
      <c r="G22" s="4">
        <f>+'15% 10-7'!G22/0.15</f>
        <v>800</v>
      </c>
      <c r="H22" s="4">
        <f>+'15% 10-7'!H22/0.15</f>
        <v>810</v>
      </c>
      <c r="I22" s="5"/>
      <c r="J22" s="5"/>
      <c r="K22" s="5"/>
      <c r="L22" s="5"/>
      <c r="M22" s="5"/>
      <c r="N22" s="5"/>
      <c r="O22" s="5">
        <f t="shared" si="12"/>
        <v>4610</v>
      </c>
    </row>
    <row r="23" spans="1:15" ht="12" customHeight="1" x14ac:dyDescent="0.25">
      <c r="A23" s="3" t="s">
        <v>44</v>
      </c>
      <c r="B23" s="3"/>
      <c r="C23" s="4">
        <f>+'15% 10-7'!C23/0.15</f>
        <v>0</v>
      </c>
      <c r="D23" s="4">
        <f>+'15% 10-7'!D23/0.15</f>
        <v>0</v>
      </c>
      <c r="E23" s="4">
        <f>+'15% 10-7'!E23/0.15</f>
        <v>0</v>
      </c>
      <c r="F23" s="4">
        <f>+'15% 10-7'!F23/0.15</f>
        <v>0</v>
      </c>
      <c r="G23" s="4">
        <f>+'15% 10-7'!G23/0.15</f>
        <v>0</v>
      </c>
      <c r="H23" s="4">
        <f>+'15% 10-7'!H23/0.15</f>
        <v>0</v>
      </c>
      <c r="I23" s="5"/>
      <c r="J23" s="5"/>
      <c r="K23" s="5"/>
      <c r="L23" s="5"/>
      <c r="M23" s="5"/>
      <c r="O23" s="5">
        <f t="shared" si="12"/>
        <v>0</v>
      </c>
    </row>
    <row r="24" spans="1:15" ht="12" customHeight="1" x14ac:dyDescent="0.25">
      <c r="A24" s="3" t="s">
        <v>16</v>
      </c>
      <c r="B24" s="3"/>
      <c r="C24" s="4">
        <f>+'15% 10-7'!C24/0.15</f>
        <v>0</v>
      </c>
      <c r="D24" s="4">
        <f>+'15% 10-7'!D24/0.15</f>
        <v>0</v>
      </c>
      <c r="E24" s="4">
        <f>+'15% 10-7'!E24/0.15</f>
        <v>0</v>
      </c>
      <c r="F24" s="4">
        <f>+'15% 10-7'!F24/0.15</f>
        <v>0</v>
      </c>
      <c r="G24" s="4">
        <f>+'15% 10-7'!G24/0.15</f>
        <v>0</v>
      </c>
      <c r="H24" s="4">
        <f>+'15% 10-7'!H24/0.15</f>
        <v>0</v>
      </c>
      <c r="I24" s="5"/>
      <c r="J24" s="5"/>
      <c r="K24" s="5"/>
      <c r="L24" s="5"/>
      <c r="M24" s="5"/>
      <c r="O24" s="5">
        <f t="shared" si="12"/>
        <v>0</v>
      </c>
    </row>
    <row r="25" spans="1:15" ht="12" customHeight="1" x14ac:dyDescent="0.25">
      <c r="A25" s="3" t="s">
        <v>17</v>
      </c>
      <c r="B25" s="3"/>
      <c r="C25" s="4">
        <f>+'15% 10-7'!C25/0.15</f>
        <v>0</v>
      </c>
      <c r="D25" s="4">
        <f>+'15% 10-7'!D25/0.15</f>
        <v>0</v>
      </c>
      <c r="E25" s="4">
        <f>+'15% 10-7'!E25/0.15</f>
        <v>0</v>
      </c>
      <c r="F25" s="4">
        <f>+'15% 10-7'!F25/0.15</f>
        <v>0</v>
      </c>
      <c r="G25" s="4">
        <f>+'15% 10-7'!G25/0.15</f>
        <v>0</v>
      </c>
      <c r="H25" s="4">
        <f>+'15% 10-7'!H25/0.15</f>
        <v>0</v>
      </c>
      <c r="I25" s="4"/>
      <c r="J25" s="4"/>
      <c r="K25" s="4"/>
      <c r="L25" s="4"/>
      <c r="M25" s="4"/>
      <c r="O25" s="5"/>
    </row>
    <row r="26" spans="1:15" ht="12" customHeight="1" x14ac:dyDescent="0.25">
      <c r="A26" s="3" t="s">
        <v>18</v>
      </c>
      <c r="B26" s="3"/>
      <c r="C26" s="4">
        <f>+'15% 10-7'!C26/0.15</f>
        <v>0</v>
      </c>
      <c r="D26" s="4">
        <f>+'15% 10-7'!D26/0.15</f>
        <v>0</v>
      </c>
      <c r="E26" s="4">
        <f>+'15% 10-7'!E26/0.15</f>
        <v>0</v>
      </c>
      <c r="F26" s="4">
        <f>+'15% 10-7'!F26/0.15</f>
        <v>0</v>
      </c>
      <c r="G26" s="4">
        <f>+'15% 10-7'!G26/0.15</f>
        <v>0</v>
      </c>
      <c r="H26" s="4">
        <f>+'15% 10-7'!H26/0.15</f>
        <v>0</v>
      </c>
      <c r="I26" s="5"/>
      <c r="J26" s="5"/>
      <c r="K26" s="5"/>
      <c r="L26" s="5"/>
      <c r="M26" s="5"/>
      <c r="O26" s="5">
        <f>SUM(C26:N26)</f>
        <v>0</v>
      </c>
    </row>
    <row r="27" spans="1:15" ht="12" customHeight="1" x14ac:dyDescent="0.25">
      <c r="A27" s="3" t="s">
        <v>53</v>
      </c>
      <c r="B27" s="3"/>
      <c r="C27" s="4">
        <f>+'15% 10-7'!C27/0.15</f>
        <v>0</v>
      </c>
      <c r="D27" s="4">
        <f>+'15% 10-7'!D27/0.15</f>
        <v>0</v>
      </c>
      <c r="E27" s="4">
        <f>+'15% 10-7'!E27/0.15</f>
        <v>448.00000000000006</v>
      </c>
      <c r="F27" s="4">
        <f>+'15% 10-7'!F27/0.15</f>
        <v>0</v>
      </c>
      <c r="G27" s="4">
        <f>+'15% 10-7'!G27/0.15</f>
        <v>0</v>
      </c>
      <c r="H27" s="4">
        <f>+'15% 10-7'!H27/0.15</f>
        <v>448.00000000000006</v>
      </c>
      <c r="I27" s="5"/>
      <c r="J27" s="5"/>
      <c r="K27" s="5"/>
      <c r="L27" s="5"/>
      <c r="M27" s="5"/>
      <c r="O27" s="5">
        <f>SUM(C27:N27)</f>
        <v>896.00000000000011</v>
      </c>
    </row>
    <row r="28" spans="1:15" ht="12" customHeight="1" x14ac:dyDescent="0.25">
      <c r="A28" s="3" t="s">
        <v>19</v>
      </c>
      <c r="B28" s="3"/>
      <c r="C28" s="6">
        <f t="shared" ref="C28:M28" si="13">+C26+C27</f>
        <v>0</v>
      </c>
      <c r="D28" s="6">
        <f t="shared" ref="D28:H28" si="14">+D26+D27</f>
        <v>0</v>
      </c>
      <c r="E28" s="6">
        <f t="shared" si="14"/>
        <v>448.00000000000006</v>
      </c>
      <c r="F28" s="6">
        <f t="shared" si="14"/>
        <v>0</v>
      </c>
      <c r="G28" s="6">
        <f t="shared" si="14"/>
        <v>0</v>
      </c>
      <c r="H28" s="6">
        <f t="shared" si="14"/>
        <v>448.00000000000006</v>
      </c>
      <c r="I28" s="6">
        <f t="shared" si="13"/>
        <v>0</v>
      </c>
      <c r="J28" s="6">
        <f t="shared" si="13"/>
        <v>0</v>
      </c>
      <c r="K28" s="6">
        <f t="shared" si="13"/>
        <v>0</v>
      </c>
      <c r="L28" s="6">
        <f t="shared" si="13"/>
        <v>0</v>
      </c>
      <c r="M28" s="6">
        <f t="shared" si="13"/>
        <v>0</v>
      </c>
      <c r="N28" s="43"/>
      <c r="O28" s="8">
        <f>SUM(C28:N28)</f>
        <v>896.00000000000011</v>
      </c>
    </row>
    <row r="29" spans="1:15" ht="12" customHeight="1" x14ac:dyDescent="0.25">
      <c r="A29" s="3" t="s">
        <v>49</v>
      </c>
      <c r="B29" s="3"/>
      <c r="C29" s="4">
        <f>+'15% 10-7'!C29/0.15</f>
        <v>0</v>
      </c>
      <c r="D29" s="4">
        <f>+'15% 10-7'!D29/0.15</f>
        <v>0</v>
      </c>
      <c r="E29" s="4">
        <f>+'15% 10-7'!E29/0.15</f>
        <v>0</v>
      </c>
      <c r="F29" s="4">
        <f>+'15% 10-7'!F29/0.15</f>
        <v>0</v>
      </c>
      <c r="G29" s="4">
        <f>+'15% 10-7'!G29/0.15</f>
        <v>953.93333333333339</v>
      </c>
      <c r="H29" s="4">
        <f>+'15% 10-7'!H29/0.15</f>
        <v>0</v>
      </c>
      <c r="I29" s="41"/>
      <c r="J29" s="41"/>
      <c r="K29" s="41"/>
      <c r="L29" s="41"/>
      <c r="M29" s="41"/>
      <c r="O29" s="5">
        <f t="shared" ref="O29:O40" si="15">SUM(C29:N29)</f>
        <v>953.93333333333339</v>
      </c>
    </row>
    <row r="30" spans="1:15" ht="12" customHeight="1" x14ac:dyDescent="0.25">
      <c r="A30" s="3" t="s">
        <v>20</v>
      </c>
      <c r="B30" s="3"/>
      <c r="C30" s="4">
        <f>+'15% 10-7'!C30/0.15</f>
        <v>0</v>
      </c>
      <c r="D30" s="4">
        <f>+'15% 10-7'!D30/0.15</f>
        <v>0</v>
      </c>
      <c r="E30" s="4">
        <f>+'15% 10-7'!E30/0.15</f>
        <v>57.266666666666666</v>
      </c>
      <c r="F30" s="4">
        <f>+'15% 10-7'!F30/0.15</f>
        <v>0</v>
      </c>
      <c r="G30" s="4">
        <f>+'15% 10-7'!G30/0.15</f>
        <v>72.000000000000014</v>
      </c>
      <c r="H30" s="4">
        <f>+'15% 10-7'!H30/0.15</f>
        <v>0</v>
      </c>
      <c r="I30" s="4"/>
      <c r="J30" s="4"/>
      <c r="K30" s="4"/>
      <c r="L30" s="4"/>
      <c r="M30" s="4"/>
      <c r="O30" s="5">
        <f t="shared" si="15"/>
        <v>129.26666666666668</v>
      </c>
    </row>
    <row r="31" spans="1:15" ht="12" customHeight="1" x14ac:dyDescent="0.25">
      <c r="A31" s="3" t="s">
        <v>50</v>
      </c>
      <c r="B31" s="3"/>
      <c r="C31" s="4">
        <f>+'15% 10-7'!C31/0.15</f>
        <v>0</v>
      </c>
      <c r="D31" s="4">
        <f>+'15% 10-7'!D31/0.15</f>
        <v>0</v>
      </c>
      <c r="E31" s="4">
        <f>+'15% 10-7'!E31/0.15</f>
        <v>0</v>
      </c>
      <c r="F31" s="4">
        <f>+'15% 10-7'!F31/0.15</f>
        <v>0</v>
      </c>
      <c r="G31" s="4">
        <f>+'15% 10-7'!G31/0.15</f>
        <v>0</v>
      </c>
      <c r="H31" s="4">
        <f>+'15% 10-7'!H31/0.15</f>
        <v>0</v>
      </c>
      <c r="I31" s="4"/>
      <c r="J31" s="4"/>
      <c r="K31" s="4"/>
      <c r="L31" s="4"/>
      <c r="M31" s="4"/>
      <c r="O31" s="5">
        <f t="shared" si="15"/>
        <v>0</v>
      </c>
    </row>
    <row r="32" spans="1:15" ht="12" customHeight="1" x14ac:dyDescent="0.25">
      <c r="A32" s="3" t="s">
        <v>45</v>
      </c>
      <c r="B32" s="3"/>
      <c r="C32" s="4">
        <f>+'15% 10-7'!C32/0.15</f>
        <v>0</v>
      </c>
      <c r="D32" s="4">
        <f>+'15% 10-7'!D32/0.15</f>
        <v>0</v>
      </c>
      <c r="E32" s="4">
        <f>+'15% 10-7'!E32/0.15</f>
        <v>1330</v>
      </c>
      <c r="F32" s="4">
        <f>+'15% 10-7'!F32/0.15</f>
        <v>380</v>
      </c>
      <c r="G32" s="4">
        <f>+'15% 10-7'!G32/0.15</f>
        <v>2940</v>
      </c>
      <c r="H32" s="4">
        <f>+'15% 10-7'!H32/0.15</f>
        <v>0</v>
      </c>
      <c r="I32" s="4"/>
      <c r="J32" s="4"/>
      <c r="K32" s="4"/>
      <c r="L32" s="4"/>
      <c r="M32" s="4"/>
      <c r="O32" s="5">
        <f t="shared" si="15"/>
        <v>4650</v>
      </c>
    </row>
    <row r="33" spans="1:16" ht="12" customHeight="1" x14ac:dyDescent="0.25">
      <c r="A33" s="3" t="s">
        <v>21</v>
      </c>
      <c r="B33" s="3"/>
      <c r="C33" s="4">
        <f>+'15% 10-7'!C33/0.15</f>
        <v>0</v>
      </c>
      <c r="D33" s="4">
        <f>+'15% 10-7'!D33/0.15</f>
        <v>400</v>
      </c>
      <c r="E33" s="4">
        <f>+'15% 10-7'!E33/0.15</f>
        <v>0</v>
      </c>
      <c r="F33" s="4">
        <f>+'15% 10-7'!F33/0.15</f>
        <v>0</v>
      </c>
      <c r="G33" s="4">
        <f>+'15% 10-7'!G33/0.15</f>
        <v>0</v>
      </c>
      <c r="H33" s="4">
        <f>+'15% 10-7'!H33/0.15</f>
        <v>0</v>
      </c>
      <c r="I33" s="4"/>
      <c r="J33" s="4"/>
      <c r="K33" s="4"/>
      <c r="L33" s="4"/>
      <c r="M33" s="4"/>
      <c r="O33" s="5">
        <f t="shared" si="15"/>
        <v>400</v>
      </c>
    </row>
    <row r="34" spans="1:16" ht="12" customHeight="1" x14ac:dyDescent="0.25">
      <c r="A34" s="3" t="s">
        <v>43</v>
      </c>
      <c r="B34" s="3"/>
      <c r="C34" s="4">
        <f>+'15% 10-7'!C34/0.15</f>
        <v>0</v>
      </c>
      <c r="D34" s="4">
        <f>+'15% 10-7'!D34/0.15</f>
        <v>0</v>
      </c>
      <c r="E34" s="4">
        <f>+'15% 10-7'!E34/0.15</f>
        <v>414.66666666666669</v>
      </c>
      <c r="F34" s="4">
        <f>+'15% 10-7'!F34/0.15</f>
        <v>1135.8666666666668</v>
      </c>
      <c r="G34" s="4">
        <f>+'15% 10-7'!G34/0.15</f>
        <v>428.40000000000003</v>
      </c>
      <c r="H34" s="4">
        <f>+'15% 10-7'!H34/0.15</f>
        <v>0</v>
      </c>
      <c r="I34" s="4"/>
      <c r="J34" s="4"/>
      <c r="K34" s="4"/>
      <c r="L34" s="4"/>
      <c r="M34" s="4"/>
      <c r="N34" s="4"/>
      <c r="O34" s="5">
        <f t="shared" si="15"/>
        <v>1978.9333333333336</v>
      </c>
    </row>
    <row r="35" spans="1:16" ht="12" customHeight="1" x14ac:dyDescent="0.25">
      <c r="A35" s="3" t="s">
        <v>22</v>
      </c>
      <c r="B35" s="3"/>
      <c r="C35" s="4">
        <f>+'15% 10-7'!C35/0.15</f>
        <v>0</v>
      </c>
      <c r="D35" s="4">
        <f>+'15% 10-7'!D35/0.15</f>
        <v>0</v>
      </c>
      <c r="E35" s="4">
        <f>+'15% 10-7'!E35/0.15</f>
        <v>0</v>
      </c>
      <c r="F35" s="4">
        <f>+'15% 10-7'!F35/0.15</f>
        <v>0</v>
      </c>
      <c r="G35" s="4">
        <f>+'15% 10-7'!G35/0.15</f>
        <v>46.8</v>
      </c>
      <c r="H35" s="4">
        <f>+'15% 10-7'!H35/0.15</f>
        <v>371.13333333333338</v>
      </c>
      <c r="I35" s="4"/>
      <c r="J35" s="4"/>
      <c r="K35" s="4"/>
      <c r="L35" s="4"/>
      <c r="M35" s="4"/>
      <c r="O35" s="5">
        <f t="shared" si="15"/>
        <v>417.93333333333339</v>
      </c>
    </row>
    <row r="36" spans="1:16" ht="12" customHeight="1" x14ac:dyDescent="0.25">
      <c r="A36" s="3" t="s">
        <v>51</v>
      </c>
      <c r="B36" s="3"/>
      <c r="C36" s="4">
        <f>+'15% 10-7'!C36/0.15</f>
        <v>690</v>
      </c>
      <c r="D36" s="4">
        <f>+'15% 10-7'!D36/0.15</f>
        <v>0</v>
      </c>
      <c r="E36" s="4">
        <f>+'15% 10-7'!E36/0.15</f>
        <v>0</v>
      </c>
      <c r="F36" s="4">
        <f>+'15% 10-7'!F36/0.15</f>
        <v>0</v>
      </c>
      <c r="G36" s="4">
        <f>+'15% 10-7'!G36/0.15</f>
        <v>0</v>
      </c>
      <c r="H36" s="4">
        <f>+'15% 10-7'!H36/0.15</f>
        <v>0</v>
      </c>
      <c r="I36" s="4"/>
      <c r="J36" s="4"/>
      <c r="K36" s="4"/>
      <c r="L36" s="4"/>
      <c r="M36" s="4"/>
      <c r="O36" s="5">
        <f t="shared" si="15"/>
        <v>690</v>
      </c>
    </row>
    <row r="37" spans="1:16" ht="12" customHeight="1" x14ac:dyDescent="0.25">
      <c r="A37" s="3" t="s">
        <v>23</v>
      </c>
      <c r="B37" s="3"/>
      <c r="C37" s="4">
        <f>+'15% 10-7'!C37/0.15</f>
        <v>3225</v>
      </c>
      <c r="D37" s="4">
        <f>+'15% 10-7'!D37/0.15</f>
        <v>1800</v>
      </c>
      <c r="E37" s="4">
        <f>+'15% 10-7'!E37/0.15</f>
        <v>1350</v>
      </c>
      <c r="F37" s="4">
        <f>+'15% 10-7'!F37/0.15</f>
        <v>1350</v>
      </c>
      <c r="G37" s="4">
        <f>+'15% 10-7'!G37/0.15</f>
        <v>1350</v>
      </c>
      <c r="H37" s="4">
        <f>+'15% 10-7'!H37/0.15</f>
        <v>149.19999999999999</v>
      </c>
      <c r="I37" s="5"/>
      <c r="J37" s="5"/>
      <c r="K37" s="5"/>
      <c r="L37" s="5"/>
      <c r="M37" s="5"/>
      <c r="N37" s="5"/>
      <c r="O37" s="5">
        <f t="shared" si="15"/>
        <v>9224.2000000000007</v>
      </c>
    </row>
    <row r="38" spans="1:16" ht="12" customHeight="1" x14ac:dyDescent="0.25">
      <c r="A38" s="3" t="s">
        <v>24</v>
      </c>
      <c r="B38" s="3"/>
      <c r="C38" s="6">
        <f t="shared" ref="C38:N38" si="16">+C20+C21+C22+C23+C24+C28+C29+C30+C31+C32+C33+C34+C35+C36+C37</f>
        <v>5269.6</v>
      </c>
      <c r="D38" s="6">
        <f t="shared" ref="D38:H38" si="17">+D20+D21+D22+D23+D24+D28+D29+D30+D31+D32+D33+D34+D35+D36+D37</f>
        <v>2950</v>
      </c>
      <c r="E38" s="6">
        <f t="shared" si="17"/>
        <v>4428.1333333333332</v>
      </c>
      <c r="F38" s="6">
        <f t="shared" si="17"/>
        <v>3615.8666666666668</v>
      </c>
      <c r="G38" s="6">
        <f t="shared" si="17"/>
        <v>6815.9333333333334</v>
      </c>
      <c r="H38" s="6">
        <f t="shared" si="17"/>
        <v>2258.7333333333331</v>
      </c>
      <c r="I38" s="6">
        <f t="shared" si="16"/>
        <v>0</v>
      </c>
      <c r="J38" s="6">
        <f t="shared" si="16"/>
        <v>0</v>
      </c>
      <c r="K38" s="6">
        <f t="shared" si="16"/>
        <v>0</v>
      </c>
      <c r="L38" s="6">
        <f t="shared" si="16"/>
        <v>0</v>
      </c>
      <c r="M38" s="6">
        <f t="shared" si="16"/>
        <v>0</v>
      </c>
      <c r="N38" s="6">
        <f t="shared" si="16"/>
        <v>0</v>
      </c>
      <c r="O38" s="7">
        <f t="shared" si="15"/>
        <v>25338.266666666666</v>
      </c>
    </row>
    <row r="39" spans="1:16" ht="12" customHeight="1" x14ac:dyDescent="0.25">
      <c r="A39" s="3" t="s">
        <v>25</v>
      </c>
      <c r="B39" s="3"/>
      <c r="C39" s="6">
        <f t="shared" ref="C39:N39" si="18">C38</f>
        <v>5269.6</v>
      </c>
      <c r="D39" s="6">
        <f t="shared" ref="D39:H39" si="19">D38</f>
        <v>2950</v>
      </c>
      <c r="E39" s="6">
        <f t="shared" si="19"/>
        <v>4428.1333333333332</v>
      </c>
      <c r="F39" s="6">
        <f t="shared" si="19"/>
        <v>3615.8666666666668</v>
      </c>
      <c r="G39" s="6">
        <f t="shared" si="19"/>
        <v>6815.9333333333334</v>
      </c>
      <c r="H39" s="6">
        <f t="shared" si="19"/>
        <v>2258.7333333333331</v>
      </c>
      <c r="I39" s="6">
        <f t="shared" si="18"/>
        <v>0</v>
      </c>
      <c r="J39" s="6">
        <f t="shared" si="18"/>
        <v>0</v>
      </c>
      <c r="K39" s="6">
        <f t="shared" si="18"/>
        <v>0</v>
      </c>
      <c r="L39" s="6">
        <f t="shared" si="18"/>
        <v>0</v>
      </c>
      <c r="M39" s="6">
        <f t="shared" si="18"/>
        <v>0</v>
      </c>
      <c r="N39" s="6">
        <f t="shared" si="18"/>
        <v>0</v>
      </c>
      <c r="O39" s="7">
        <f t="shared" si="15"/>
        <v>25338.266666666666</v>
      </c>
    </row>
    <row r="40" spans="1:16" ht="12" customHeight="1" x14ac:dyDescent="0.25">
      <c r="A40" s="3" t="s">
        <v>26</v>
      </c>
      <c r="B40" s="3"/>
      <c r="C40" s="6">
        <f t="shared" ref="C40:N40" si="20">(((C17)-(C39))+(0))-(0)</f>
        <v>44926.666666666672</v>
      </c>
      <c r="D40" s="6">
        <f t="shared" ref="D40:H40" si="21">(((D17)-(D39))+(0))-(0)</f>
        <v>41905.73333333333</v>
      </c>
      <c r="E40" s="6">
        <f t="shared" si="21"/>
        <v>35606.199999999997</v>
      </c>
      <c r="F40" s="6">
        <f t="shared" si="21"/>
        <v>40420.533333333326</v>
      </c>
      <c r="G40" s="6">
        <f t="shared" si="21"/>
        <v>37598.866666666669</v>
      </c>
      <c r="H40" s="6">
        <f t="shared" si="21"/>
        <v>-5376</v>
      </c>
      <c r="I40" s="6">
        <f t="shared" si="20"/>
        <v>0</v>
      </c>
      <c r="J40" s="6">
        <f t="shared" si="20"/>
        <v>0</v>
      </c>
      <c r="K40" s="6">
        <f t="shared" si="20"/>
        <v>0</v>
      </c>
      <c r="L40" s="6">
        <f t="shared" si="20"/>
        <v>0</v>
      </c>
      <c r="M40" s="6">
        <f t="shared" si="20"/>
        <v>0</v>
      </c>
      <c r="N40" s="6">
        <f t="shared" si="20"/>
        <v>0</v>
      </c>
      <c r="O40" s="46">
        <f t="shared" si="15"/>
        <v>195081.99999999997</v>
      </c>
    </row>
    <row r="41" spans="1:16" x14ac:dyDescent="0.25">
      <c r="A41" s="3"/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O41" s="4"/>
    </row>
    <row r="42" spans="1:16" ht="12" customHeight="1" x14ac:dyDescent="0.25">
      <c r="A42" s="10" t="s">
        <v>46</v>
      </c>
      <c r="B42" s="10"/>
      <c r="C42" s="11"/>
      <c r="D42" s="11"/>
      <c r="E42" s="11"/>
      <c r="F42" s="11"/>
      <c r="G42" s="12"/>
      <c r="H42" s="12"/>
      <c r="I42" s="12"/>
      <c r="J42" s="12"/>
      <c r="K42" s="12"/>
      <c r="L42" s="12"/>
      <c r="M42" s="12"/>
      <c r="N42" s="12"/>
      <c r="O42" s="13"/>
    </row>
    <row r="43" spans="1:16" ht="12" customHeight="1" x14ac:dyDescent="0.25">
      <c r="A43" s="14" t="s">
        <v>27</v>
      </c>
      <c r="B43" s="15" t="s">
        <v>28</v>
      </c>
      <c r="C43" s="16">
        <f>+C10/C47</f>
        <v>1121.6550918875728</v>
      </c>
      <c r="D43" s="16">
        <f t="shared" ref="D43:H43" si="22">+D10/D47</f>
        <v>827.77631253838729</v>
      </c>
      <c r="E43" s="16">
        <f t="shared" si="22"/>
        <v>761.34011250673018</v>
      </c>
      <c r="F43" s="16">
        <f t="shared" si="22"/>
        <v>694.93494545969679</v>
      </c>
      <c r="G43" s="16">
        <f t="shared" si="22"/>
        <v>757.8246408889288</v>
      </c>
      <c r="H43" s="16">
        <f t="shared" si="22"/>
        <v>0</v>
      </c>
      <c r="I43" s="16"/>
      <c r="J43" s="16"/>
      <c r="K43" s="16"/>
      <c r="L43" s="16"/>
      <c r="M43" s="16"/>
      <c r="N43" s="16"/>
      <c r="O43" s="17">
        <f>SUM(C43:N43)</f>
        <v>4163.5311032813161</v>
      </c>
    </row>
    <row r="44" spans="1:16" ht="12" customHeight="1" x14ac:dyDescent="0.25">
      <c r="A44" s="18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12"/>
      <c r="O44" s="13"/>
    </row>
    <row r="45" spans="1:16" ht="12" customHeight="1" x14ac:dyDescent="0.25">
      <c r="A45" s="14" t="s">
        <v>61</v>
      </c>
      <c r="B45" s="15" t="s">
        <v>29</v>
      </c>
      <c r="C45" s="16">
        <v>29.3</v>
      </c>
      <c r="D45" s="16">
        <v>30.8</v>
      </c>
      <c r="E45" s="16">
        <v>28.3</v>
      </c>
      <c r="F45" s="16">
        <v>25.1</v>
      </c>
      <c r="G45" s="16">
        <v>23</v>
      </c>
      <c r="H45" s="16">
        <v>28.3</v>
      </c>
      <c r="I45" s="16"/>
      <c r="J45" s="16"/>
      <c r="K45" s="16"/>
      <c r="L45" s="16"/>
      <c r="M45" s="16"/>
      <c r="N45" s="45"/>
      <c r="O45" s="17">
        <f>SUM(C45:N45)/6</f>
        <v>27.466666666666669</v>
      </c>
    </row>
    <row r="46" spans="1:16" ht="12" customHeight="1" x14ac:dyDescent="0.25">
      <c r="A46" s="18"/>
      <c r="B46" s="10"/>
      <c r="C46" s="21"/>
      <c r="D46" s="11"/>
      <c r="E46" s="11"/>
      <c r="F46" s="11"/>
      <c r="G46" s="12"/>
      <c r="H46" s="12"/>
      <c r="I46" s="12"/>
      <c r="J46" s="12"/>
      <c r="K46" s="12"/>
      <c r="L46" s="12"/>
      <c r="M46" s="12"/>
      <c r="N46" s="12"/>
      <c r="O46" s="22"/>
    </row>
    <row r="47" spans="1:16" ht="12" customHeight="1" x14ac:dyDescent="0.25">
      <c r="A47" s="14" t="s">
        <v>27</v>
      </c>
      <c r="B47" s="15" t="s">
        <v>30</v>
      </c>
      <c r="C47" s="20">
        <f>283.68/6.289</f>
        <v>45.107330259182703</v>
      </c>
      <c r="D47" s="23">
        <f>379.9/6.289</f>
        <v>60.407059945937348</v>
      </c>
      <c r="E47" s="23">
        <f>414.79/6.289</f>
        <v>65.954841787247588</v>
      </c>
      <c r="F47" s="23">
        <f>447.07/6.289</f>
        <v>71.087613293051362</v>
      </c>
      <c r="G47" s="24">
        <f>446.38/6.289</f>
        <v>70.977897916997932</v>
      </c>
      <c r="H47" s="24">
        <f>346.36/6.289</f>
        <v>55.073938622992529</v>
      </c>
      <c r="I47" s="24"/>
      <c r="J47" s="24"/>
      <c r="K47" s="24"/>
      <c r="L47" s="24"/>
      <c r="M47" s="24"/>
      <c r="N47" s="47"/>
      <c r="O47" s="17">
        <f>SUM(C47:N47)/6</f>
        <v>61.434780304234913</v>
      </c>
    </row>
    <row r="48" spans="1:16" ht="12" customHeight="1" x14ac:dyDescent="0.25">
      <c r="A48" s="18"/>
      <c r="B48" s="10"/>
      <c r="C48" s="25"/>
      <c r="D48" s="26"/>
      <c r="E48" s="26"/>
      <c r="F48" s="26"/>
      <c r="P48" s="27"/>
    </row>
    <row r="49" spans="1:15" ht="12" customHeight="1" x14ac:dyDescent="0.25">
      <c r="A49" s="14" t="s">
        <v>31</v>
      </c>
      <c r="B49" s="15" t="s">
        <v>32</v>
      </c>
      <c r="C49" s="28">
        <f>+C12</f>
        <v>50594.866666666669</v>
      </c>
      <c r="D49" s="28">
        <f t="shared" ref="D49:H49" si="23">+D12</f>
        <v>50003.533333333333</v>
      </c>
      <c r="E49" s="28">
        <f t="shared" si="23"/>
        <v>50214.066666666666</v>
      </c>
      <c r="F49" s="28">
        <f t="shared" si="23"/>
        <v>49401.266666666663</v>
      </c>
      <c r="G49" s="28">
        <f t="shared" si="23"/>
        <v>53788.800000000003</v>
      </c>
      <c r="H49" s="28">
        <f t="shared" si="23"/>
        <v>0</v>
      </c>
      <c r="I49" s="28"/>
      <c r="J49" s="28"/>
      <c r="K49" s="28"/>
      <c r="L49" s="28"/>
      <c r="M49" s="28"/>
      <c r="N49" s="28"/>
      <c r="O49" s="29">
        <f>SUM(C49:N49)</f>
        <v>254002.53333333333</v>
      </c>
    </row>
    <row r="50" spans="1:15" ht="12" customHeight="1" x14ac:dyDescent="0.25">
      <c r="A50" s="14" t="s">
        <v>33</v>
      </c>
      <c r="B50" s="15" t="s">
        <v>32</v>
      </c>
      <c r="C50" s="28">
        <f>+C15</f>
        <v>-398.6</v>
      </c>
      <c r="D50" s="28">
        <f t="shared" ref="D50:H50" si="24">+D15</f>
        <v>-5147.8</v>
      </c>
      <c r="E50" s="28">
        <f t="shared" si="24"/>
        <v>-10179.733333333334</v>
      </c>
      <c r="F50" s="28">
        <f t="shared" si="24"/>
        <v>-5364.8666666666668</v>
      </c>
      <c r="G50" s="28">
        <f t="shared" si="24"/>
        <v>-9374</v>
      </c>
      <c r="H50" s="28">
        <f t="shared" si="24"/>
        <v>-3117.2666666666664</v>
      </c>
      <c r="I50" s="28"/>
      <c r="J50" s="28"/>
      <c r="K50" s="28"/>
      <c r="L50" s="28"/>
      <c r="M50" s="28"/>
      <c r="N50" s="28"/>
      <c r="O50" s="29">
        <f>SUM(C50:N50)</f>
        <v>-33582.266666666663</v>
      </c>
    </row>
    <row r="51" spans="1:15" ht="12" customHeight="1" x14ac:dyDescent="0.25">
      <c r="A51" s="14" t="s">
        <v>34</v>
      </c>
      <c r="B51" s="15" t="s">
        <v>32</v>
      </c>
      <c r="C51" s="28">
        <f>+C38</f>
        <v>5269.6</v>
      </c>
      <c r="D51" s="28">
        <f t="shared" ref="D51:H51" si="25">+D38</f>
        <v>2950</v>
      </c>
      <c r="E51" s="28">
        <f t="shared" si="25"/>
        <v>4428.1333333333332</v>
      </c>
      <c r="F51" s="28">
        <f t="shared" si="25"/>
        <v>3615.8666666666668</v>
      </c>
      <c r="G51" s="28">
        <f t="shared" si="25"/>
        <v>6815.9333333333334</v>
      </c>
      <c r="H51" s="28">
        <f t="shared" si="25"/>
        <v>2258.7333333333331</v>
      </c>
      <c r="I51" s="28"/>
      <c r="J51" s="28"/>
      <c r="K51" s="28"/>
      <c r="L51" s="28"/>
      <c r="M51" s="28"/>
      <c r="N51" s="28"/>
      <c r="O51" s="29">
        <f>SUM(C51:N51)</f>
        <v>25338.266666666666</v>
      </c>
    </row>
    <row r="52" spans="1:15" ht="12" customHeight="1" x14ac:dyDescent="0.25">
      <c r="A52" s="18" t="s">
        <v>31</v>
      </c>
      <c r="B52" s="19" t="s">
        <v>30</v>
      </c>
      <c r="C52" s="30">
        <f>+C49/C43</f>
        <v>45.107330259182703</v>
      </c>
      <c r="D52" s="30">
        <f t="shared" ref="D52:G52" si="26">+D49/D43</f>
        <v>60.407059945937348</v>
      </c>
      <c r="E52" s="30">
        <f t="shared" si="26"/>
        <v>65.954841787247588</v>
      </c>
      <c r="F52" s="30">
        <f t="shared" si="26"/>
        <v>71.087613293051362</v>
      </c>
      <c r="G52" s="30">
        <f t="shared" si="26"/>
        <v>70.977897916997932</v>
      </c>
      <c r="H52" s="30">
        <v>0</v>
      </c>
      <c r="I52" s="30"/>
      <c r="J52" s="30"/>
      <c r="K52" s="30"/>
      <c r="L52" s="30"/>
      <c r="M52" s="30"/>
      <c r="N52" s="30"/>
      <c r="O52" s="31">
        <f>SUM(C52:N52)/5</f>
        <v>62.70694864048339</v>
      </c>
    </row>
    <row r="53" spans="1:15" ht="12" customHeight="1" x14ac:dyDescent="0.25">
      <c r="A53" s="14" t="s">
        <v>33</v>
      </c>
      <c r="B53" s="15" t="s">
        <v>30</v>
      </c>
      <c r="C53" s="32">
        <f>+C50/C43</f>
        <v>-0.35536770873942863</v>
      </c>
      <c r="D53" s="32">
        <f t="shared" ref="D53:G53" si="27">+D50/D43</f>
        <v>-6.218829799821405</v>
      </c>
      <c r="E53" s="32">
        <f t="shared" si="27"/>
        <v>-13.370809137871802</v>
      </c>
      <c r="F53" s="32">
        <f t="shared" si="27"/>
        <v>-7.7199552299357004</v>
      </c>
      <c r="G53" s="32">
        <f t="shared" si="27"/>
        <v>-12.369616259777844</v>
      </c>
      <c r="H53" s="32">
        <f>+'15% 10-7'!H53</f>
        <v>0</v>
      </c>
      <c r="I53" s="32"/>
      <c r="J53" s="32"/>
      <c r="K53" s="32"/>
      <c r="L53" s="32"/>
      <c r="M53" s="32"/>
      <c r="N53" s="32"/>
      <c r="O53" s="33">
        <f>SUM(C53:N53)/5</f>
        <v>-8.0069156272292368</v>
      </c>
    </row>
    <row r="54" spans="1:15" ht="12" customHeight="1" x14ac:dyDescent="0.25">
      <c r="A54" s="14" t="s">
        <v>34</v>
      </c>
      <c r="B54" s="15" t="s">
        <v>30</v>
      </c>
      <c r="C54" s="32">
        <f>+C51/C43</f>
        <v>4.6980573958185978</v>
      </c>
      <c r="D54" s="32">
        <f t="shared" ref="D54:G54" si="28">+D51/D43</f>
        <v>3.5637646974383514</v>
      </c>
      <c r="E54" s="32">
        <f t="shared" si="28"/>
        <v>5.8162354256543773</v>
      </c>
      <c r="F54" s="32">
        <f t="shared" si="28"/>
        <v>5.2031728873193801</v>
      </c>
      <c r="G54" s="32">
        <f t="shared" si="28"/>
        <v>8.9940772120292092</v>
      </c>
      <c r="H54" s="32">
        <v>0</v>
      </c>
      <c r="I54" s="32"/>
      <c r="J54" s="32"/>
      <c r="K54" s="32"/>
      <c r="L54" s="32"/>
      <c r="M54" s="32"/>
      <c r="N54" s="32"/>
      <c r="O54" s="34">
        <f>SUM(C54:N54)/5</f>
        <v>5.655061523651983</v>
      </c>
    </row>
    <row r="55" spans="1:15" ht="12" customHeight="1" x14ac:dyDescent="0.25">
      <c r="A55" s="18" t="s">
        <v>35</v>
      </c>
      <c r="B55" s="19" t="s">
        <v>30</v>
      </c>
      <c r="C55" s="30">
        <f>+C52+C53-C54</f>
        <v>40.053905154624672</v>
      </c>
      <c r="D55" s="30">
        <f t="shared" ref="D55:H55" si="29">+D52+D53-D54</f>
        <v>50.62446544867759</v>
      </c>
      <c r="E55" s="30">
        <f t="shared" si="29"/>
        <v>46.767797223721409</v>
      </c>
      <c r="F55" s="30">
        <f t="shared" si="29"/>
        <v>58.16448517579628</v>
      </c>
      <c r="G55" s="30">
        <f t="shared" si="29"/>
        <v>49.614204445190879</v>
      </c>
      <c r="H55" s="30">
        <f t="shared" si="29"/>
        <v>0</v>
      </c>
      <c r="I55" s="30"/>
      <c r="J55" s="30"/>
      <c r="K55" s="30"/>
      <c r="L55" s="30"/>
      <c r="M55" s="30"/>
      <c r="N55" s="30"/>
      <c r="O55" s="31">
        <f>SUM(C55:N55)/5</f>
        <v>49.044971489602162</v>
      </c>
    </row>
    <row r="56" spans="1:15" ht="12" customHeight="1" x14ac:dyDescent="0.25">
      <c r="A56" s="18" t="s">
        <v>36</v>
      </c>
      <c r="B56" s="35" t="s">
        <v>37</v>
      </c>
      <c r="C56" s="30">
        <f>-C14/C10*100</f>
        <v>0.78782696004733033</v>
      </c>
      <c r="D56" s="30">
        <f t="shared" ref="D56:G56" si="30">-D14/D10*100</f>
        <v>10.294872495676973</v>
      </c>
      <c r="E56" s="30">
        <f t="shared" si="30"/>
        <v>20.272672597718302</v>
      </c>
      <c r="F56" s="30">
        <f t="shared" si="30"/>
        <v>10.859775525323913</v>
      </c>
      <c r="G56" s="30">
        <f t="shared" si="30"/>
        <v>17.427419834612408</v>
      </c>
      <c r="H56" s="30">
        <f>-H50/(H45*30*H47)*100</f>
        <v>6.666841483811468</v>
      </c>
      <c r="I56" s="30"/>
      <c r="J56" s="30"/>
      <c r="K56" s="30"/>
      <c r="L56" s="30"/>
      <c r="M56" s="30"/>
      <c r="N56" s="30"/>
      <c r="O56" s="31">
        <f>SUM(C56:N56)/6</f>
        <v>11.051568149531732</v>
      </c>
    </row>
    <row r="57" spans="1:15" ht="12" customHeight="1" x14ac:dyDescent="0.25">
      <c r="A57" s="14" t="s">
        <v>38</v>
      </c>
      <c r="B57" s="36" t="s">
        <v>37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/>
      <c r="J57" s="32"/>
      <c r="K57" s="32"/>
      <c r="L57" s="32"/>
      <c r="M57" s="32"/>
      <c r="N57" s="32"/>
      <c r="O57" s="34">
        <f>SUM(C57:N57)/6</f>
        <v>0</v>
      </c>
    </row>
    <row r="58" spans="1:15" ht="12" customHeight="1" x14ac:dyDescent="0.25">
      <c r="A58" s="18" t="s">
        <v>39</v>
      </c>
      <c r="B58" s="35" t="s">
        <v>37</v>
      </c>
      <c r="C58" s="30">
        <f>+C50/C49*100</f>
        <v>-0.78782696004733033</v>
      </c>
      <c r="D58" s="30">
        <f t="shared" ref="D58:G58" si="31">+D50/D49*100</f>
        <v>-10.294872495676973</v>
      </c>
      <c r="E58" s="30">
        <f t="shared" si="31"/>
        <v>-20.272672597718302</v>
      </c>
      <c r="F58" s="30">
        <f t="shared" si="31"/>
        <v>-10.859775525323913</v>
      </c>
      <c r="G58" s="30">
        <f t="shared" si="31"/>
        <v>-17.427419834612408</v>
      </c>
      <c r="H58" s="30">
        <f>-H56</f>
        <v>-6.666841483811468</v>
      </c>
      <c r="I58" s="30"/>
      <c r="J58" s="30"/>
      <c r="K58" s="30"/>
      <c r="L58" s="30"/>
      <c r="M58" s="30"/>
      <c r="N58" s="30"/>
      <c r="O58" s="31">
        <f>SUM(C58:N58)/6</f>
        <v>-11.051568149531732</v>
      </c>
    </row>
    <row r="59" spans="1:15" ht="12" customHeight="1" x14ac:dyDescent="0.25">
      <c r="A59" s="14" t="s">
        <v>40</v>
      </c>
      <c r="B59" s="36" t="s">
        <v>37</v>
      </c>
      <c r="C59" s="32">
        <f>C51/C49*100</f>
        <v>10.415285872216286</v>
      </c>
      <c r="D59" s="32">
        <f t="shared" ref="D59:G59" si="32">D51/D49*100</f>
        <v>5.8995830961278735</v>
      </c>
      <c r="E59" s="32">
        <f t="shared" si="32"/>
        <v>8.818511678666404</v>
      </c>
      <c r="F59" s="32">
        <f t="shared" si="32"/>
        <v>7.3193804747246709</v>
      </c>
      <c r="G59" s="32">
        <f t="shared" si="32"/>
        <v>12.671659031867849</v>
      </c>
      <c r="H59" s="32">
        <v>0</v>
      </c>
      <c r="I59" s="32"/>
      <c r="J59" s="32"/>
      <c r="K59" s="32"/>
      <c r="L59" s="32"/>
      <c r="M59" s="32"/>
      <c r="N59" s="32"/>
      <c r="O59" s="33">
        <f>SUM(C59:N59)/5</f>
        <v>9.0248840307206173</v>
      </c>
    </row>
    <row r="60" spans="1:15" ht="12" customHeight="1" x14ac:dyDescent="0.25">
      <c r="A60" s="37" t="s">
        <v>41</v>
      </c>
      <c r="B60" s="38" t="s">
        <v>37</v>
      </c>
      <c r="C60" s="39">
        <f>C51/(C49+C50)*100</f>
        <v>10.497991882530441</v>
      </c>
      <c r="D60" s="39">
        <f t="shared" ref="D60:G60" si="33">D51/(D49+D50)*100</f>
        <v>6.5766397755173625</v>
      </c>
      <c r="E60" s="39">
        <f t="shared" si="33"/>
        <v>11.060839446142062</v>
      </c>
      <c r="F60" s="39">
        <f t="shared" si="33"/>
        <v>8.211085980385926</v>
      </c>
      <c r="G60" s="39">
        <f t="shared" si="33"/>
        <v>15.346085839254783</v>
      </c>
      <c r="H60" s="39">
        <v>0</v>
      </c>
      <c r="I60" s="39"/>
      <c r="J60" s="39"/>
      <c r="K60" s="39"/>
      <c r="L60" s="39"/>
      <c r="M60" s="39"/>
      <c r="N60" s="39"/>
      <c r="O60" s="34">
        <f>SUM(C60:N60)/5</f>
        <v>10.338528584766115</v>
      </c>
    </row>
  </sheetData>
  <mergeCells count="3">
    <mergeCell ref="A1:O1"/>
    <mergeCell ref="A2:O2"/>
    <mergeCell ref="A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15% 9-30</vt:lpstr>
      <vt:lpstr>100% 9-30</vt:lpstr>
      <vt:lpstr>15% 10-7</vt:lpstr>
      <vt:lpstr>100% 10-7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Grazina Palmer</cp:lastModifiedBy>
  <cp:lastPrinted>2018-06-25T20:30:15Z</cp:lastPrinted>
  <dcterms:created xsi:type="dcterms:W3CDTF">2018-03-20T17:21:20Z</dcterms:created>
  <dcterms:modified xsi:type="dcterms:W3CDTF">2019-09-18T17:48:31Z</dcterms:modified>
</cp:coreProperties>
</file>