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defaultThemeVersion="166925"/>
  <xr:revisionPtr revIDLastSave="832" documentId="8_{7B4FD945-33AE-406B-A802-3C819DF28A25}" xr6:coauthVersionLast="43" xr6:coauthVersionMax="43" xr10:uidLastSave="{9A16CCF1-3AB8-4680-A707-B8ABF5AF99BB}"/>
  <bookViews>
    <workbookView xWindow="-120" yWindow="-120" windowWidth="20730" windowHeight="11760" firstSheet="4" activeTab="9" xr2:uid="{00000000-000D-0000-FFFF-FFFF00000000}"/>
  </bookViews>
  <sheets>
    <sheet name="100 5-30-9-7 " sheetId="1" r:id="rId1"/>
    <sheet name="100 10-36-9-8 Water Source" sheetId="2" r:id="rId2"/>
    <sheet name="FAC 7-36-9-8" sheetId="9" r:id="rId3"/>
    <sheet name="102 8-35-9-8" sheetId="3" r:id="rId4"/>
    <sheet name="102 8-36-9-8" sheetId="4" r:id="rId5"/>
    <sheet name="SAT 10-36-9-8" sheetId="5" r:id="rId6"/>
    <sheet name="SAT 15-36-9-8" sheetId="6" r:id="rId7"/>
    <sheet name="FAC 1-25-9-8" sheetId="8" r:id="rId8"/>
    <sheet name="SAT 9-36-9-8" sheetId="7" r:id="rId9"/>
    <sheet name="Murray Lake" sheetId="11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5" i="11" l="1"/>
  <c r="O64" i="11"/>
  <c r="O63" i="11"/>
  <c r="O62" i="11"/>
  <c r="O61" i="11"/>
  <c r="O60" i="11"/>
  <c r="O59" i="11"/>
  <c r="O58" i="11"/>
  <c r="O57" i="11"/>
  <c r="H56" i="11"/>
  <c r="H65" i="11" s="1"/>
  <c r="G56" i="11"/>
  <c r="G65" i="11" s="1"/>
  <c r="F56" i="11"/>
  <c r="F64" i="11" s="1"/>
  <c r="E56" i="11"/>
  <c r="E65" i="11" s="1"/>
  <c r="H55" i="11"/>
  <c r="H63" i="11" s="1"/>
  <c r="G55" i="11"/>
  <c r="G63" i="11" s="1"/>
  <c r="F55" i="11"/>
  <c r="F58" i="11" s="1"/>
  <c r="E55" i="11"/>
  <c r="E63" i="11" s="1"/>
  <c r="H54" i="11"/>
  <c r="H57" i="11" s="1"/>
  <c r="G54" i="11"/>
  <c r="G57" i="11" s="1"/>
  <c r="F54" i="11"/>
  <c r="F57" i="11" s="1"/>
  <c r="E54" i="11"/>
  <c r="E57" i="11" s="1"/>
  <c r="H52" i="11"/>
  <c r="G52" i="11"/>
  <c r="F52" i="11"/>
  <c r="E52" i="11"/>
  <c r="O52" i="11" s="1"/>
  <c r="H50" i="11"/>
  <c r="G50" i="11"/>
  <c r="F50" i="11"/>
  <c r="E50" i="11"/>
  <c r="O50" i="11" s="1"/>
  <c r="H48" i="11"/>
  <c r="G48" i="11"/>
  <c r="F48" i="11"/>
  <c r="E48" i="11"/>
  <c r="O54" i="7"/>
  <c r="O53" i="7"/>
  <c r="O52" i="7"/>
  <c r="O51" i="7"/>
  <c r="O50" i="7"/>
  <c r="O49" i="7"/>
  <c r="O48" i="7"/>
  <c r="O47" i="7"/>
  <c r="O46" i="7"/>
  <c r="O41" i="7"/>
  <c r="O39" i="7"/>
  <c r="H45" i="7"/>
  <c r="H54" i="7" s="1"/>
  <c r="G45" i="7"/>
  <c r="G54" i="7" s="1"/>
  <c r="F45" i="7"/>
  <c r="F54" i="7" s="1"/>
  <c r="E45" i="7"/>
  <c r="E54" i="7" s="1"/>
  <c r="H44" i="7"/>
  <c r="H52" i="7" s="1"/>
  <c r="G44" i="7"/>
  <c r="G52" i="7" s="1"/>
  <c r="F44" i="7"/>
  <c r="F52" i="7" s="1"/>
  <c r="E44" i="7"/>
  <c r="E52" i="7" s="1"/>
  <c r="H43" i="7"/>
  <c r="H46" i="7" s="1"/>
  <c r="G43" i="7"/>
  <c r="G46" i="7" s="1"/>
  <c r="F43" i="7"/>
  <c r="F46" i="7" s="1"/>
  <c r="E43" i="7"/>
  <c r="E46" i="7" s="1"/>
  <c r="H41" i="7"/>
  <c r="G41" i="7"/>
  <c r="F41" i="7"/>
  <c r="F37" i="7" s="1"/>
  <c r="E41" i="7"/>
  <c r="E37" i="7" s="1"/>
  <c r="H37" i="7"/>
  <c r="G37" i="7"/>
  <c r="O59" i="8"/>
  <c r="O58" i="8"/>
  <c r="O57" i="8"/>
  <c r="O56" i="8"/>
  <c r="O55" i="8"/>
  <c r="O54" i="8"/>
  <c r="O53" i="8"/>
  <c r="O52" i="8"/>
  <c r="O51" i="8"/>
  <c r="O46" i="8"/>
  <c r="O44" i="8"/>
  <c r="H50" i="8"/>
  <c r="H59" i="8" s="1"/>
  <c r="G50" i="8"/>
  <c r="G59" i="8" s="1"/>
  <c r="F50" i="8"/>
  <c r="F58" i="8" s="1"/>
  <c r="E50" i="8"/>
  <c r="E58" i="8" s="1"/>
  <c r="H49" i="8"/>
  <c r="H57" i="8" s="1"/>
  <c r="G49" i="8"/>
  <c r="G57" i="8" s="1"/>
  <c r="F49" i="8"/>
  <c r="F57" i="8" s="1"/>
  <c r="E49" i="8"/>
  <c r="H48" i="8"/>
  <c r="H51" i="8" s="1"/>
  <c r="G48" i="8"/>
  <c r="G51" i="8" s="1"/>
  <c r="F48" i="8"/>
  <c r="F51" i="8" s="1"/>
  <c r="E48" i="8"/>
  <c r="H46" i="8"/>
  <c r="G46" i="8"/>
  <c r="F46" i="8"/>
  <c r="F42" i="8" s="1"/>
  <c r="E46" i="8"/>
  <c r="H42" i="8"/>
  <c r="G42" i="8"/>
  <c r="O56" i="6"/>
  <c r="O55" i="6"/>
  <c r="O54" i="6"/>
  <c r="O53" i="6"/>
  <c r="O52" i="6"/>
  <c r="O51" i="6"/>
  <c r="O50" i="6"/>
  <c r="O49" i="6"/>
  <c r="O48" i="6"/>
  <c r="O43" i="6"/>
  <c r="O41" i="6"/>
  <c r="H47" i="6"/>
  <c r="H56" i="6" s="1"/>
  <c r="G47" i="6"/>
  <c r="G56" i="6" s="1"/>
  <c r="F47" i="6"/>
  <c r="F56" i="6" s="1"/>
  <c r="E47" i="6"/>
  <c r="E55" i="6" s="1"/>
  <c r="H46" i="6"/>
  <c r="H54" i="6" s="1"/>
  <c r="G46" i="6"/>
  <c r="G54" i="6" s="1"/>
  <c r="F46" i="6"/>
  <c r="F54" i="6" s="1"/>
  <c r="E46" i="6"/>
  <c r="E54" i="6" s="1"/>
  <c r="H45" i="6"/>
  <c r="H48" i="6" s="1"/>
  <c r="G45" i="6"/>
  <c r="G48" i="6" s="1"/>
  <c r="F45" i="6"/>
  <c r="F48" i="6" s="1"/>
  <c r="E45" i="6"/>
  <c r="E48" i="6" s="1"/>
  <c r="H43" i="6"/>
  <c r="G43" i="6"/>
  <c r="F43" i="6"/>
  <c r="E43" i="6"/>
  <c r="H39" i="6"/>
  <c r="G39" i="6"/>
  <c r="F39" i="6"/>
  <c r="E39" i="6"/>
  <c r="O54" i="5"/>
  <c r="O53" i="5"/>
  <c r="O52" i="5"/>
  <c r="O51" i="5"/>
  <c r="O50" i="5"/>
  <c r="O49" i="5"/>
  <c r="O48" i="5"/>
  <c r="O47" i="5"/>
  <c r="O46" i="5"/>
  <c r="O41" i="5"/>
  <c r="O39" i="5"/>
  <c r="O37" i="5"/>
  <c r="O43" i="5"/>
  <c r="O44" i="5"/>
  <c r="O45" i="5"/>
  <c r="H45" i="5"/>
  <c r="H54" i="5" s="1"/>
  <c r="G45" i="5"/>
  <c r="G54" i="5" s="1"/>
  <c r="F45" i="5"/>
  <c r="F54" i="5" s="1"/>
  <c r="E45" i="5"/>
  <c r="E54" i="5" s="1"/>
  <c r="H44" i="5"/>
  <c r="H52" i="5" s="1"/>
  <c r="G44" i="5"/>
  <c r="G52" i="5" s="1"/>
  <c r="F44" i="5"/>
  <c r="F52" i="5" s="1"/>
  <c r="E44" i="5"/>
  <c r="E52" i="5" s="1"/>
  <c r="H43" i="5"/>
  <c r="H46" i="5" s="1"/>
  <c r="G43" i="5"/>
  <c r="G46" i="5" s="1"/>
  <c r="F43" i="5"/>
  <c r="F46" i="5" s="1"/>
  <c r="E43" i="5"/>
  <c r="E46" i="5" s="1"/>
  <c r="H41" i="5"/>
  <c r="G41" i="5"/>
  <c r="F41" i="5"/>
  <c r="F37" i="5" s="1"/>
  <c r="E41" i="5"/>
  <c r="E37" i="5" s="1"/>
  <c r="H37" i="5"/>
  <c r="G37" i="5"/>
  <c r="O55" i="4"/>
  <c r="O54" i="4"/>
  <c r="O53" i="4"/>
  <c r="O52" i="4"/>
  <c r="O51" i="4"/>
  <c r="O50" i="4"/>
  <c r="O49" i="4"/>
  <c r="O48" i="4"/>
  <c r="O47" i="4"/>
  <c r="O42" i="4"/>
  <c r="O40" i="4"/>
  <c r="H46" i="4"/>
  <c r="H55" i="4" s="1"/>
  <c r="G46" i="4"/>
  <c r="G55" i="4" s="1"/>
  <c r="F46" i="4"/>
  <c r="F55" i="4" s="1"/>
  <c r="E46" i="4"/>
  <c r="E55" i="4" s="1"/>
  <c r="H45" i="4"/>
  <c r="H53" i="4" s="1"/>
  <c r="G45" i="4"/>
  <c r="G53" i="4" s="1"/>
  <c r="F45" i="4"/>
  <c r="F53" i="4" s="1"/>
  <c r="E45" i="4"/>
  <c r="E53" i="4" s="1"/>
  <c r="H44" i="4"/>
  <c r="H47" i="4" s="1"/>
  <c r="G44" i="4"/>
  <c r="G47" i="4" s="1"/>
  <c r="F44" i="4"/>
  <c r="F47" i="4" s="1"/>
  <c r="E44" i="4"/>
  <c r="E47" i="4" s="1"/>
  <c r="H42" i="4"/>
  <c r="G42" i="4"/>
  <c r="F42" i="4"/>
  <c r="E42" i="4"/>
  <c r="H38" i="4"/>
  <c r="G38" i="4"/>
  <c r="F38" i="4"/>
  <c r="E38" i="4"/>
  <c r="O56" i="3"/>
  <c r="O55" i="3"/>
  <c r="O54" i="3"/>
  <c r="O53" i="3"/>
  <c r="O52" i="3"/>
  <c r="O51" i="3"/>
  <c r="O50" i="3"/>
  <c r="O49" i="3"/>
  <c r="O48" i="3"/>
  <c r="O43" i="3"/>
  <c r="G47" i="3"/>
  <c r="G56" i="3" s="1"/>
  <c r="F47" i="3"/>
  <c r="F56" i="3" s="1"/>
  <c r="E47" i="3"/>
  <c r="E56" i="3" s="1"/>
  <c r="G46" i="3"/>
  <c r="G54" i="3" s="1"/>
  <c r="F46" i="3"/>
  <c r="F54" i="3" s="1"/>
  <c r="E46" i="3"/>
  <c r="E54" i="3" s="1"/>
  <c r="G45" i="3"/>
  <c r="F45" i="3"/>
  <c r="F48" i="3" s="1"/>
  <c r="E45" i="3"/>
  <c r="E48" i="3" s="1"/>
  <c r="G43" i="3"/>
  <c r="H39" i="3"/>
  <c r="F39" i="3"/>
  <c r="E39" i="3"/>
  <c r="O41" i="3"/>
  <c r="H44" i="8"/>
  <c r="H39" i="7"/>
  <c r="G44" i="8"/>
  <c r="F39" i="7"/>
  <c r="E39" i="7"/>
  <c r="F43" i="3"/>
  <c r="E43" i="3"/>
  <c r="N42" i="11"/>
  <c r="M42" i="11"/>
  <c r="L42" i="11"/>
  <c r="K42" i="11"/>
  <c r="J42" i="11"/>
  <c r="I42" i="11"/>
  <c r="H42" i="11"/>
  <c r="G42" i="11"/>
  <c r="F42" i="11"/>
  <c r="E42" i="11"/>
  <c r="D42" i="11"/>
  <c r="N41" i="11"/>
  <c r="M41" i="11"/>
  <c r="L41" i="11"/>
  <c r="K41" i="11"/>
  <c r="J41" i="11"/>
  <c r="I41" i="11"/>
  <c r="H41" i="11"/>
  <c r="G41" i="11"/>
  <c r="F41" i="11"/>
  <c r="E41" i="11"/>
  <c r="D41" i="11"/>
  <c r="N40" i="11"/>
  <c r="M40" i="11"/>
  <c r="L40" i="11"/>
  <c r="K40" i="11"/>
  <c r="J40" i="11"/>
  <c r="I40" i="11"/>
  <c r="H40" i="11"/>
  <c r="G40" i="11"/>
  <c r="F40" i="11"/>
  <c r="E40" i="11"/>
  <c r="O40" i="11" s="1"/>
  <c r="D40" i="11"/>
  <c r="N39" i="11"/>
  <c r="M39" i="11"/>
  <c r="L39" i="11"/>
  <c r="K39" i="11"/>
  <c r="J39" i="11"/>
  <c r="I39" i="11"/>
  <c r="H39" i="11"/>
  <c r="G39" i="11"/>
  <c r="F39" i="11"/>
  <c r="E39" i="11"/>
  <c r="D39" i="11"/>
  <c r="N38" i="11"/>
  <c r="M38" i="11"/>
  <c r="L38" i="11"/>
  <c r="K38" i="11"/>
  <c r="J38" i="11"/>
  <c r="I38" i="11"/>
  <c r="H38" i="11"/>
  <c r="G38" i="11"/>
  <c r="F38" i="11"/>
  <c r="E38" i="11"/>
  <c r="D38" i="11"/>
  <c r="N37" i="11"/>
  <c r="M37" i="11"/>
  <c r="L37" i="11"/>
  <c r="K37" i="11"/>
  <c r="J37" i="11"/>
  <c r="I37" i="11"/>
  <c r="H37" i="11"/>
  <c r="G37" i="11"/>
  <c r="F37" i="11"/>
  <c r="E37" i="11"/>
  <c r="D37" i="11"/>
  <c r="N36" i="11"/>
  <c r="M36" i="11"/>
  <c r="L36" i="11"/>
  <c r="K36" i="11"/>
  <c r="J36" i="11"/>
  <c r="I36" i="11"/>
  <c r="H36" i="11"/>
  <c r="G36" i="11"/>
  <c r="F36" i="11"/>
  <c r="E36" i="11"/>
  <c r="D36" i="11"/>
  <c r="N35" i="11"/>
  <c r="M35" i="11"/>
  <c r="L35" i="11"/>
  <c r="K35" i="11"/>
  <c r="J35" i="11"/>
  <c r="I35" i="11"/>
  <c r="H35" i="11"/>
  <c r="G35" i="11"/>
  <c r="F35" i="11"/>
  <c r="E35" i="11"/>
  <c r="D35" i="11"/>
  <c r="N34" i="11"/>
  <c r="M34" i="11"/>
  <c r="L34" i="11"/>
  <c r="K34" i="11"/>
  <c r="J34" i="11"/>
  <c r="I34" i="11"/>
  <c r="H34" i="11"/>
  <c r="G34" i="11"/>
  <c r="F34" i="11"/>
  <c r="E34" i="11"/>
  <c r="D34" i="11"/>
  <c r="N33" i="11"/>
  <c r="M33" i="11"/>
  <c r="L33" i="11"/>
  <c r="K33" i="11"/>
  <c r="J33" i="11"/>
  <c r="I33" i="11"/>
  <c r="H33" i="11"/>
  <c r="G33" i="11"/>
  <c r="F33" i="11"/>
  <c r="E33" i="11"/>
  <c r="D33" i="11"/>
  <c r="C40" i="11"/>
  <c r="C35" i="11"/>
  <c r="O30" i="7"/>
  <c r="O27" i="7"/>
  <c r="H31" i="7"/>
  <c r="L34" i="7"/>
  <c r="K34" i="7"/>
  <c r="D34" i="7"/>
  <c r="N33" i="7"/>
  <c r="N34" i="7" s="1"/>
  <c r="L33" i="7"/>
  <c r="K33" i="7"/>
  <c r="J33" i="7"/>
  <c r="J34" i="7" s="1"/>
  <c r="F33" i="7"/>
  <c r="F34" i="7" s="1"/>
  <c r="D33" i="7"/>
  <c r="N32" i="7"/>
  <c r="M32" i="7"/>
  <c r="M33" i="7" s="1"/>
  <c r="M34" i="7" s="1"/>
  <c r="L32" i="7"/>
  <c r="K32" i="7"/>
  <c r="J32" i="7"/>
  <c r="I32" i="7"/>
  <c r="I33" i="7" s="1"/>
  <c r="I34" i="7" s="1"/>
  <c r="H32" i="7"/>
  <c r="H33" i="7" s="1"/>
  <c r="G32" i="7"/>
  <c r="G33" i="7" s="1"/>
  <c r="F32" i="7"/>
  <c r="E32" i="7"/>
  <c r="E33" i="7" s="1"/>
  <c r="E34" i="7" s="1"/>
  <c r="D32" i="7"/>
  <c r="C32" i="7"/>
  <c r="N26" i="11"/>
  <c r="M26" i="11"/>
  <c r="L26" i="11"/>
  <c r="K26" i="11"/>
  <c r="J26" i="11"/>
  <c r="I26" i="11"/>
  <c r="H26" i="11"/>
  <c r="G26" i="11"/>
  <c r="F26" i="11"/>
  <c r="E26" i="11"/>
  <c r="D26" i="11"/>
  <c r="C26" i="11"/>
  <c r="O35" i="8"/>
  <c r="O23" i="8"/>
  <c r="H36" i="8"/>
  <c r="L39" i="8"/>
  <c r="K39" i="8"/>
  <c r="D39" i="8"/>
  <c r="N38" i="8"/>
  <c r="N39" i="8" s="1"/>
  <c r="L38" i="8"/>
  <c r="K38" i="8"/>
  <c r="J38" i="8"/>
  <c r="J39" i="8" s="1"/>
  <c r="F38" i="8"/>
  <c r="F39" i="8" s="1"/>
  <c r="D38" i="8"/>
  <c r="N37" i="8"/>
  <c r="M37" i="8"/>
  <c r="M38" i="8" s="1"/>
  <c r="M39" i="8" s="1"/>
  <c r="L37" i="8"/>
  <c r="K37" i="8"/>
  <c r="J37" i="8"/>
  <c r="I37" i="8"/>
  <c r="I38" i="8" s="1"/>
  <c r="I39" i="8" s="1"/>
  <c r="G37" i="8"/>
  <c r="G38" i="8" s="1"/>
  <c r="F37" i="8"/>
  <c r="E37" i="8"/>
  <c r="E38" i="8" s="1"/>
  <c r="E39" i="8" s="1"/>
  <c r="D37" i="8"/>
  <c r="C37" i="8"/>
  <c r="C42" i="11"/>
  <c r="C39" i="11"/>
  <c r="O33" i="6"/>
  <c r="O32" i="6"/>
  <c r="O31" i="6"/>
  <c r="O30" i="6"/>
  <c r="H32" i="6"/>
  <c r="L36" i="6"/>
  <c r="K36" i="6"/>
  <c r="G36" i="6"/>
  <c r="D36" i="6"/>
  <c r="N35" i="6"/>
  <c r="N36" i="6" s="1"/>
  <c r="L35" i="6"/>
  <c r="K35" i="6"/>
  <c r="J35" i="6"/>
  <c r="J36" i="6" s="1"/>
  <c r="G35" i="6"/>
  <c r="D35" i="6"/>
  <c r="N34" i="6"/>
  <c r="M34" i="6"/>
  <c r="M35" i="6" s="1"/>
  <c r="M36" i="6" s="1"/>
  <c r="L34" i="6"/>
  <c r="K34" i="6"/>
  <c r="J34" i="6"/>
  <c r="I34" i="6"/>
  <c r="I35" i="6" s="1"/>
  <c r="I36" i="6" s="1"/>
  <c r="G34" i="6"/>
  <c r="F34" i="6"/>
  <c r="F35" i="6" s="1"/>
  <c r="F36" i="6" s="1"/>
  <c r="E34" i="6"/>
  <c r="E35" i="6" s="1"/>
  <c r="E36" i="6" s="1"/>
  <c r="D34" i="6"/>
  <c r="C34" i="6"/>
  <c r="H31" i="5"/>
  <c r="O30" i="5"/>
  <c r="L34" i="5"/>
  <c r="K34" i="5"/>
  <c r="D34" i="5"/>
  <c r="N33" i="5"/>
  <c r="N34" i="5" s="1"/>
  <c r="L33" i="5"/>
  <c r="K33" i="5"/>
  <c r="J33" i="5"/>
  <c r="J34" i="5" s="1"/>
  <c r="F33" i="5"/>
  <c r="F34" i="5" s="1"/>
  <c r="D33" i="5"/>
  <c r="N32" i="5"/>
  <c r="M32" i="5"/>
  <c r="M33" i="5" s="1"/>
  <c r="M34" i="5" s="1"/>
  <c r="L32" i="5"/>
  <c r="K32" i="5"/>
  <c r="J32" i="5"/>
  <c r="I32" i="5"/>
  <c r="I33" i="5" s="1"/>
  <c r="I34" i="5" s="1"/>
  <c r="G32" i="5"/>
  <c r="G33" i="5" s="1"/>
  <c r="F32" i="5"/>
  <c r="E32" i="5"/>
  <c r="E33" i="5" s="1"/>
  <c r="E34" i="5" s="1"/>
  <c r="D32" i="5"/>
  <c r="C32" i="5"/>
  <c r="H32" i="4"/>
  <c r="O31" i="4"/>
  <c r="K35" i="4"/>
  <c r="N34" i="4"/>
  <c r="N35" i="4" s="1"/>
  <c r="K34" i="4"/>
  <c r="J34" i="4"/>
  <c r="J35" i="4" s="1"/>
  <c r="F34" i="4"/>
  <c r="F35" i="4" s="1"/>
  <c r="N33" i="4"/>
  <c r="M33" i="4"/>
  <c r="M34" i="4" s="1"/>
  <c r="M35" i="4" s="1"/>
  <c r="L33" i="4"/>
  <c r="L34" i="4" s="1"/>
  <c r="L35" i="4" s="1"/>
  <c r="K33" i="4"/>
  <c r="J33" i="4"/>
  <c r="I33" i="4"/>
  <c r="I34" i="4" s="1"/>
  <c r="I35" i="4" s="1"/>
  <c r="H33" i="4"/>
  <c r="H34" i="4" s="1"/>
  <c r="G33" i="4"/>
  <c r="G34" i="4" s="1"/>
  <c r="F33" i="4"/>
  <c r="E33" i="4"/>
  <c r="E34" i="4" s="1"/>
  <c r="E35" i="4" s="1"/>
  <c r="D33" i="4"/>
  <c r="D34" i="4" s="1"/>
  <c r="D35" i="4" s="1"/>
  <c r="C33" i="4"/>
  <c r="G33" i="3"/>
  <c r="O33" i="3" s="1"/>
  <c r="K36" i="3"/>
  <c r="H36" i="3"/>
  <c r="D36" i="3"/>
  <c r="N35" i="3"/>
  <c r="N36" i="3" s="1"/>
  <c r="L35" i="3"/>
  <c r="L36" i="3" s="1"/>
  <c r="K35" i="3"/>
  <c r="J35" i="3"/>
  <c r="J36" i="3" s="1"/>
  <c r="H35" i="3"/>
  <c r="F35" i="3"/>
  <c r="F36" i="3" s="1"/>
  <c r="D35" i="3"/>
  <c r="N34" i="3"/>
  <c r="M34" i="3"/>
  <c r="M35" i="3" s="1"/>
  <c r="M36" i="3" s="1"/>
  <c r="L34" i="3"/>
  <c r="K34" i="3"/>
  <c r="J34" i="3"/>
  <c r="I34" i="3"/>
  <c r="I35" i="3" s="1"/>
  <c r="I36" i="3" s="1"/>
  <c r="H34" i="3"/>
  <c r="G34" i="3"/>
  <c r="G35" i="3" s="1"/>
  <c r="G36" i="3" s="1"/>
  <c r="F34" i="3"/>
  <c r="E34" i="3"/>
  <c r="E35" i="3" s="1"/>
  <c r="E36" i="3" s="1"/>
  <c r="D34" i="3"/>
  <c r="C34" i="3"/>
  <c r="O31" i="3"/>
  <c r="N20" i="9"/>
  <c r="N35" i="9"/>
  <c r="N27" i="9"/>
  <c r="J38" i="9"/>
  <c r="M37" i="9"/>
  <c r="M38" i="9" s="1"/>
  <c r="J37" i="9"/>
  <c r="I37" i="9"/>
  <c r="I38" i="9" s="1"/>
  <c r="F37" i="9"/>
  <c r="E37" i="9"/>
  <c r="E38" i="9" s="1"/>
  <c r="M36" i="9"/>
  <c r="L36" i="9"/>
  <c r="L37" i="9" s="1"/>
  <c r="L38" i="9" s="1"/>
  <c r="K36" i="9"/>
  <c r="K37" i="9" s="1"/>
  <c r="K38" i="9" s="1"/>
  <c r="J36" i="9"/>
  <c r="I36" i="9"/>
  <c r="H36" i="9"/>
  <c r="H37" i="9" s="1"/>
  <c r="H38" i="9" s="1"/>
  <c r="G36" i="9"/>
  <c r="G37" i="9" s="1"/>
  <c r="F36" i="9"/>
  <c r="E36" i="9"/>
  <c r="D36" i="9"/>
  <c r="D37" i="9" s="1"/>
  <c r="C36" i="9"/>
  <c r="C37" i="9" s="1"/>
  <c r="B36" i="9"/>
  <c r="G35" i="9"/>
  <c r="G17" i="9"/>
  <c r="F17" i="9"/>
  <c r="C19" i="9"/>
  <c r="C41" i="11"/>
  <c r="N17" i="2"/>
  <c r="K21" i="2"/>
  <c r="J21" i="2"/>
  <c r="G21" i="2"/>
  <c r="F21" i="2"/>
  <c r="C21" i="2"/>
  <c r="M20" i="2"/>
  <c r="M21" i="2" s="1"/>
  <c r="K20" i="2"/>
  <c r="J20" i="2"/>
  <c r="I20" i="2"/>
  <c r="I21" i="2" s="1"/>
  <c r="G20" i="2"/>
  <c r="F20" i="2"/>
  <c r="E20" i="2"/>
  <c r="E21" i="2" s="1"/>
  <c r="C20" i="2"/>
  <c r="M19" i="2"/>
  <c r="L19" i="2"/>
  <c r="L20" i="2" s="1"/>
  <c r="L21" i="2" s="1"/>
  <c r="K19" i="2"/>
  <c r="J19" i="2"/>
  <c r="I19" i="2"/>
  <c r="H19" i="2"/>
  <c r="H20" i="2" s="1"/>
  <c r="H21" i="2" s="1"/>
  <c r="G19" i="2"/>
  <c r="F19" i="2"/>
  <c r="E19" i="2"/>
  <c r="D19" i="2"/>
  <c r="D20" i="2" s="1"/>
  <c r="D21" i="2" s="1"/>
  <c r="C19" i="2"/>
  <c r="B19" i="2"/>
  <c r="N18" i="2"/>
  <c r="N16" i="2"/>
  <c r="H60" i="11" l="1"/>
  <c r="E58" i="11"/>
  <c r="E60" i="11" s="1"/>
  <c r="E64" i="11"/>
  <c r="F59" i="11"/>
  <c r="F60" i="11" s="1"/>
  <c r="F63" i="11"/>
  <c r="F65" i="11"/>
  <c r="G58" i="11"/>
  <c r="G59" i="11"/>
  <c r="G60" i="11" s="1"/>
  <c r="G64" i="11"/>
  <c r="E59" i="11"/>
  <c r="H58" i="11"/>
  <c r="H59" i="11"/>
  <c r="H64" i="11"/>
  <c r="H49" i="7"/>
  <c r="E47" i="7"/>
  <c r="E49" i="7" s="1"/>
  <c r="E48" i="7"/>
  <c r="E53" i="7"/>
  <c r="F47" i="7"/>
  <c r="F49" i="7" s="1"/>
  <c r="F48" i="7"/>
  <c r="F53" i="7"/>
  <c r="G47" i="7"/>
  <c r="G49" i="7" s="1"/>
  <c r="G48" i="7"/>
  <c r="G53" i="7"/>
  <c r="H47" i="7"/>
  <c r="H48" i="7"/>
  <c r="H53" i="7"/>
  <c r="E51" i="8"/>
  <c r="E52" i="8"/>
  <c r="E42" i="8"/>
  <c r="E53" i="8"/>
  <c r="E57" i="8"/>
  <c r="E59" i="8"/>
  <c r="F52" i="8"/>
  <c r="F54" i="8" s="1"/>
  <c r="F59" i="8"/>
  <c r="G52" i="8"/>
  <c r="G54" i="8" s="1"/>
  <c r="G53" i="8"/>
  <c r="G58" i="8"/>
  <c r="F53" i="8"/>
  <c r="H52" i="8"/>
  <c r="H54" i="8" s="1"/>
  <c r="H53" i="8"/>
  <c r="H58" i="8"/>
  <c r="H51" i="6"/>
  <c r="E56" i="6"/>
  <c r="F49" i="6"/>
  <c r="F51" i="6" s="1"/>
  <c r="F50" i="6"/>
  <c r="F55" i="6"/>
  <c r="E49" i="6"/>
  <c r="E51" i="6" s="1"/>
  <c r="E50" i="6"/>
  <c r="G49" i="6"/>
  <c r="G51" i="6" s="1"/>
  <c r="G50" i="6"/>
  <c r="G55" i="6"/>
  <c r="H49" i="6"/>
  <c r="H50" i="6"/>
  <c r="H55" i="6"/>
  <c r="H49" i="5"/>
  <c r="E47" i="5"/>
  <c r="E49" i="5" s="1"/>
  <c r="E48" i="5"/>
  <c r="E53" i="5"/>
  <c r="F47" i="5"/>
  <c r="F49" i="5" s="1"/>
  <c r="F48" i="5"/>
  <c r="F53" i="5"/>
  <c r="G47" i="5"/>
  <c r="G49" i="5" s="1"/>
  <c r="G48" i="5"/>
  <c r="G53" i="5"/>
  <c r="H47" i="5"/>
  <c r="H48" i="5"/>
  <c r="H53" i="5"/>
  <c r="F50" i="4"/>
  <c r="E48" i="4"/>
  <c r="E50" i="4" s="1"/>
  <c r="E49" i="4"/>
  <c r="E54" i="4"/>
  <c r="F48" i="4"/>
  <c r="F49" i="4"/>
  <c r="F54" i="4"/>
  <c r="G48" i="4"/>
  <c r="G50" i="4" s="1"/>
  <c r="G49" i="4"/>
  <c r="G54" i="4"/>
  <c r="H48" i="4"/>
  <c r="H50" i="4" s="1"/>
  <c r="H49" i="4"/>
  <c r="H54" i="4"/>
  <c r="G48" i="3"/>
  <c r="E49" i="3"/>
  <c r="E51" i="3" s="1"/>
  <c r="E50" i="3"/>
  <c r="E55" i="3"/>
  <c r="F49" i="3"/>
  <c r="F51" i="3" s="1"/>
  <c r="F50" i="3"/>
  <c r="F55" i="3"/>
  <c r="G49" i="3"/>
  <c r="G50" i="3"/>
  <c r="G55" i="3"/>
  <c r="G39" i="3"/>
  <c r="H32" i="5"/>
  <c r="H33" i="5" s="1"/>
  <c r="O42" i="11"/>
  <c r="D52" i="11"/>
  <c r="D50" i="11"/>
  <c r="D39" i="7"/>
  <c r="D44" i="7"/>
  <c r="D43" i="7"/>
  <c r="D41" i="7"/>
  <c r="D44" i="8"/>
  <c r="D49" i="8"/>
  <c r="D48" i="8"/>
  <c r="D46" i="8"/>
  <c r="D42" i="8" s="1"/>
  <c r="D51" i="8" s="1"/>
  <c r="D41" i="6"/>
  <c r="D46" i="6"/>
  <c r="D54" i="6" s="1"/>
  <c r="D45" i="6"/>
  <c r="D44" i="5"/>
  <c r="D43" i="5"/>
  <c r="D39" i="5"/>
  <c r="E54" i="8" l="1"/>
  <c r="G51" i="3"/>
  <c r="D52" i="8"/>
  <c r="D37" i="7"/>
  <c r="D47" i="7" s="1"/>
  <c r="D52" i="7"/>
  <c r="D57" i="8"/>
  <c r="D52" i="5"/>
  <c r="D46" i="7" l="1"/>
  <c r="D53" i="4" l="1"/>
  <c r="D45" i="4"/>
  <c r="D44" i="4"/>
  <c r="D42" i="4"/>
  <c r="D40" i="4"/>
  <c r="D46" i="3"/>
  <c r="D45" i="3"/>
  <c r="D39" i="3"/>
  <c r="D48" i="3" s="1"/>
  <c r="D41" i="3"/>
  <c r="B17" i="9"/>
  <c r="D49" i="3" l="1"/>
  <c r="D38" i="4"/>
  <c r="D48" i="4" s="1"/>
  <c r="D41" i="5"/>
  <c r="D54" i="3"/>
  <c r="A3" i="11"/>
  <c r="C39" i="7"/>
  <c r="C44" i="8"/>
  <c r="C41" i="6"/>
  <c r="C39" i="5"/>
  <c r="C40" i="4"/>
  <c r="C41" i="3"/>
  <c r="C13" i="3"/>
  <c r="B9" i="9"/>
  <c r="D47" i="4" l="1"/>
  <c r="D37" i="5"/>
  <c r="D43" i="6"/>
  <c r="D39" i="6" s="1"/>
  <c r="C34" i="11"/>
  <c r="N23" i="11"/>
  <c r="M23" i="11"/>
  <c r="L23" i="11"/>
  <c r="K23" i="11"/>
  <c r="J23" i="11"/>
  <c r="I23" i="11"/>
  <c r="H23" i="11"/>
  <c r="G23" i="11"/>
  <c r="F23" i="11"/>
  <c r="E23" i="11"/>
  <c r="D23" i="11"/>
  <c r="C23" i="11"/>
  <c r="O26" i="7"/>
  <c r="O28" i="7"/>
  <c r="O30" i="8"/>
  <c r="O31" i="8"/>
  <c r="O24" i="8"/>
  <c r="O21" i="8"/>
  <c r="O26" i="6"/>
  <c r="O27" i="5"/>
  <c r="O26" i="5"/>
  <c r="O26" i="4"/>
  <c r="O27" i="3"/>
  <c r="O28" i="3"/>
  <c r="M18" i="1"/>
  <c r="L18" i="1"/>
  <c r="K18" i="1"/>
  <c r="J18" i="1"/>
  <c r="I18" i="1"/>
  <c r="H18" i="1"/>
  <c r="G18" i="1"/>
  <c r="F18" i="1"/>
  <c r="E18" i="1"/>
  <c r="N26" i="9"/>
  <c r="D48" i="6" l="1"/>
  <c r="D49" i="6"/>
  <c r="D46" i="5"/>
  <c r="D47" i="5"/>
  <c r="O23" i="11"/>
  <c r="O34" i="11"/>
  <c r="O23" i="6" l="1"/>
  <c r="O25" i="6"/>
  <c r="O27" i="6"/>
  <c r="O28" i="6"/>
  <c r="O29" i="6"/>
  <c r="O23" i="3"/>
  <c r="N25" i="3"/>
  <c r="M25" i="3"/>
  <c r="L25" i="3"/>
  <c r="K25" i="3"/>
  <c r="J25" i="3"/>
  <c r="I25" i="3"/>
  <c r="H25" i="3"/>
  <c r="G25" i="3"/>
  <c r="F25" i="3"/>
  <c r="E25" i="3"/>
  <c r="D25" i="3"/>
  <c r="D47" i="3" s="1"/>
  <c r="C25" i="3"/>
  <c r="D55" i="3" l="1"/>
  <c r="D50" i="3"/>
  <c r="D56" i="3"/>
  <c r="N34" i="9"/>
  <c r="N33" i="9"/>
  <c r="D51" i="3" l="1"/>
  <c r="C36" i="11"/>
  <c r="N27" i="11" l="1"/>
  <c r="M27" i="11"/>
  <c r="L27" i="11"/>
  <c r="K27" i="11"/>
  <c r="J27" i="11"/>
  <c r="I27" i="11"/>
  <c r="H27" i="11"/>
  <c r="G27" i="11"/>
  <c r="F27" i="11"/>
  <c r="E27" i="11"/>
  <c r="D27" i="11"/>
  <c r="C27" i="11"/>
  <c r="E10" i="8"/>
  <c r="O27" i="11" l="1"/>
  <c r="C25" i="11"/>
  <c r="N15" i="11"/>
  <c r="M15" i="11"/>
  <c r="L15" i="11"/>
  <c r="K15" i="11"/>
  <c r="J15" i="11"/>
  <c r="I15" i="11"/>
  <c r="H15" i="11"/>
  <c r="G15" i="11"/>
  <c r="F15" i="11"/>
  <c r="E15" i="11"/>
  <c r="D15" i="11"/>
  <c r="D55" i="11" s="1"/>
  <c r="C15" i="11"/>
  <c r="A3" i="7" l="1"/>
  <c r="A3" i="8"/>
  <c r="A3" i="6" l="1"/>
  <c r="A3" i="5"/>
  <c r="C42" i="4"/>
  <c r="H24" i="4"/>
  <c r="G24" i="4"/>
  <c r="F24" i="4"/>
  <c r="E24" i="4"/>
  <c r="D24" i="4"/>
  <c r="D46" i="4" s="1"/>
  <c r="C24" i="4"/>
  <c r="H10" i="4"/>
  <c r="G10" i="4"/>
  <c r="F10" i="4"/>
  <c r="E10" i="4"/>
  <c r="D10" i="4"/>
  <c r="C10" i="4"/>
  <c r="A3" i="4"/>
  <c r="D55" i="4" l="1"/>
  <c r="D49" i="4"/>
  <c r="D50" i="4" s="1"/>
  <c r="D54" i="4"/>
  <c r="C41" i="5"/>
  <c r="C52" i="11"/>
  <c r="C46" i="8"/>
  <c r="C41" i="7"/>
  <c r="A3" i="3"/>
  <c r="A3" i="9"/>
  <c r="A3" i="2"/>
  <c r="C43" i="6" l="1"/>
  <c r="D9" i="11"/>
  <c r="E9" i="11"/>
  <c r="F9" i="11"/>
  <c r="G9" i="11"/>
  <c r="H9" i="11"/>
  <c r="I9" i="11"/>
  <c r="J9" i="11"/>
  <c r="K9" i="11"/>
  <c r="L9" i="11"/>
  <c r="M9" i="11"/>
  <c r="N9" i="11"/>
  <c r="O15" i="11" l="1"/>
  <c r="N31" i="11"/>
  <c r="M31" i="11"/>
  <c r="N30" i="11"/>
  <c r="M30" i="11"/>
  <c r="N29" i="11"/>
  <c r="M29" i="11"/>
  <c r="N25" i="11"/>
  <c r="M25" i="11"/>
  <c r="N24" i="11"/>
  <c r="M24" i="11"/>
  <c r="N22" i="11"/>
  <c r="M22" i="11"/>
  <c r="N21" i="11"/>
  <c r="M21" i="11"/>
  <c r="N16" i="11"/>
  <c r="M16" i="11"/>
  <c r="N11" i="11"/>
  <c r="M11" i="11"/>
  <c r="N24" i="7"/>
  <c r="M24" i="7"/>
  <c r="N14" i="7"/>
  <c r="M14" i="7"/>
  <c r="N10" i="7"/>
  <c r="N11" i="7" s="1"/>
  <c r="M10" i="7"/>
  <c r="O31" i="7"/>
  <c r="O29" i="7"/>
  <c r="O25" i="7"/>
  <c r="O23" i="7"/>
  <c r="O22" i="7"/>
  <c r="O21" i="7"/>
  <c r="O20" i="7"/>
  <c r="O19" i="7"/>
  <c r="O13" i="7"/>
  <c r="O9" i="7"/>
  <c r="N28" i="8"/>
  <c r="M28" i="8"/>
  <c r="N10" i="8"/>
  <c r="N11" i="8" s="1"/>
  <c r="N15" i="8" s="1"/>
  <c r="N16" i="8" s="1"/>
  <c r="M10" i="8"/>
  <c r="M11" i="8" s="1"/>
  <c r="M15" i="8" s="1"/>
  <c r="M16" i="8" s="1"/>
  <c r="M12" i="11" l="1"/>
  <c r="M13" i="11" s="1"/>
  <c r="M17" i="11" s="1"/>
  <c r="M18" i="11" s="1"/>
  <c r="N12" i="11"/>
  <c r="N13" i="11" s="1"/>
  <c r="N17" i="11" s="1"/>
  <c r="N18" i="11" s="1"/>
  <c r="N15" i="7"/>
  <c r="N16" i="7" s="1"/>
  <c r="M32" i="11"/>
  <c r="M43" i="11" s="1"/>
  <c r="M44" i="11" s="1"/>
  <c r="N32" i="11"/>
  <c r="N43" i="11" s="1"/>
  <c r="N44" i="11" s="1"/>
  <c r="M11" i="7"/>
  <c r="N45" i="11" l="1"/>
  <c r="M45" i="11"/>
  <c r="M15" i="7"/>
  <c r="M16" i="7" s="1"/>
  <c r="O36" i="8" l="1"/>
  <c r="O34" i="8"/>
  <c r="O33" i="8"/>
  <c r="O32" i="8"/>
  <c r="O29" i="8"/>
  <c r="O27" i="8"/>
  <c r="O26" i="8"/>
  <c r="O25" i="8"/>
  <c r="O22" i="8"/>
  <c r="O20" i="8"/>
  <c r="O19" i="8"/>
  <c r="O13" i="8"/>
  <c r="O9" i="8"/>
  <c r="N24" i="6"/>
  <c r="M24" i="6"/>
  <c r="N14" i="6"/>
  <c r="M14" i="6"/>
  <c r="N10" i="6"/>
  <c r="N11" i="6" s="1"/>
  <c r="M10" i="6"/>
  <c r="M11" i="6" s="1"/>
  <c r="O21" i="6"/>
  <c r="O20" i="6"/>
  <c r="O19" i="6"/>
  <c r="O18" i="6"/>
  <c r="O17" i="6"/>
  <c r="O13" i="6"/>
  <c r="O9" i="6"/>
  <c r="N24" i="5"/>
  <c r="M24" i="5"/>
  <c r="N14" i="5"/>
  <c r="M14" i="5"/>
  <c r="N10" i="5"/>
  <c r="N11" i="5" s="1"/>
  <c r="N15" i="5" s="1"/>
  <c r="N16" i="5" s="1"/>
  <c r="M10" i="5"/>
  <c r="O31" i="5"/>
  <c r="O29" i="5"/>
  <c r="O28" i="5"/>
  <c r="O25" i="5"/>
  <c r="O23" i="5"/>
  <c r="O21" i="5"/>
  <c r="O20" i="5"/>
  <c r="O19" i="5"/>
  <c r="O13" i="5"/>
  <c r="O9" i="5"/>
  <c r="N24" i="4"/>
  <c r="M24" i="4"/>
  <c r="N10" i="4"/>
  <c r="N11" i="4" s="1"/>
  <c r="N15" i="4" s="1"/>
  <c r="N16" i="4" s="1"/>
  <c r="M10" i="4"/>
  <c r="M11" i="4" s="1"/>
  <c r="M15" i="4" s="1"/>
  <c r="M16" i="4" s="1"/>
  <c r="O32" i="4"/>
  <c r="O30" i="4"/>
  <c r="O29" i="4"/>
  <c r="O28" i="4"/>
  <c r="O27" i="4"/>
  <c r="O25" i="4"/>
  <c r="O23" i="4"/>
  <c r="O21" i="4"/>
  <c r="O20" i="4"/>
  <c r="O19" i="4"/>
  <c r="O14" i="4"/>
  <c r="O13" i="4"/>
  <c r="O9" i="4"/>
  <c r="N10" i="3"/>
  <c r="N11" i="3" s="1"/>
  <c r="M10" i="3"/>
  <c r="M11" i="3" s="1"/>
  <c r="N14" i="3"/>
  <c r="M14" i="3"/>
  <c r="O32" i="3"/>
  <c r="O30" i="3"/>
  <c r="O29" i="3"/>
  <c r="O26" i="3"/>
  <c r="O24" i="3"/>
  <c r="O21" i="3"/>
  <c r="O20" i="3"/>
  <c r="O19" i="3"/>
  <c r="O13" i="3"/>
  <c r="O9" i="3"/>
  <c r="M24" i="9"/>
  <c r="L24" i="9"/>
  <c r="M10" i="9"/>
  <c r="M11" i="9" s="1"/>
  <c r="M13" i="9" s="1"/>
  <c r="M14" i="9" s="1"/>
  <c r="L10" i="9"/>
  <c r="L11" i="9" s="1"/>
  <c r="L13" i="9" s="1"/>
  <c r="L14" i="9" s="1"/>
  <c r="N32" i="9"/>
  <c r="N31" i="9"/>
  <c r="N30" i="9"/>
  <c r="N29" i="9"/>
  <c r="N28" i="9"/>
  <c r="N25" i="9"/>
  <c r="N23" i="9"/>
  <c r="N21" i="9"/>
  <c r="N19" i="9"/>
  <c r="N18" i="9"/>
  <c r="N17" i="9"/>
  <c r="N16" i="9"/>
  <c r="N9" i="9"/>
  <c r="M8" i="2"/>
  <c r="L8" i="2"/>
  <c r="K8" i="2"/>
  <c r="J8" i="2"/>
  <c r="N16" i="1"/>
  <c r="N14" i="1"/>
  <c r="N13" i="1"/>
  <c r="N11" i="1"/>
  <c r="M15" i="1"/>
  <c r="M19" i="1" s="1"/>
  <c r="M20" i="1" s="1"/>
  <c r="L15" i="1"/>
  <c r="L19" i="1" s="1"/>
  <c r="L20" i="1" s="1"/>
  <c r="N15" i="6" l="1"/>
  <c r="N16" i="6" s="1"/>
  <c r="M15" i="6"/>
  <c r="M16" i="6" s="1"/>
  <c r="M11" i="5"/>
  <c r="N15" i="3"/>
  <c r="N16" i="3" s="1"/>
  <c r="M15" i="3"/>
  <c r="M16" i="3" s="1"/>
  <c r="L31" i="11"/>
  <c r="K31" i="11"/>
  <c r="J31" i="11"/>
  <c r="I31" i="11"/>
  <c r="H31" i="11"/>
  <c r="G31" i="11"/>
  <c r="F31" i="11"/>
  <c r="E31" i="11"/>
  <c r="D31" i="11"/>
  <c r="C31" i="11"/>
  <c r="L21" i="11"/>
  <c r="K21" i="11"/>
  <c r="J21" i="11"/>
  <c r="I21" i="11"/>
  <c r="H21" i="11"/>
  <c r="G21" i="11"/>
  <c r="F21" i="11"/>
  <c r="E21" i="11"/>
  <c r="D21" i="11"/>
  <c r="C21" i="11"/>
  <c r="L11" i="11"/>
  <c r="K11" i="11"/>
  <c r="K12" i="11" s="1"/>
  <c r="J11" i="11"/>
  <c r="J12" i="11" s="1"/>
  <c r="I11" i="11"/>
  <c r="I12" i="11" s="1"/>
  <c r="H11" i="11"/>
  <c r="H12" i="11" s="1"/>
  <c r="G11" i="11"/>
  <c r="G12" i="11" s="1"/>
  <c r="F11" i="11"/>
  <c r="F12" i="11" s="1"/>
  <c r="E11" i="11"/>
  <c r="E12" i="11" s="1"/>
  <c r="D11" i="11"/>
  <c r="C11" i="11"/>
  <c r="C50" i="11"/>
  <c r="C37" i="11"/>
  <c r="C38" i="11"/>
  <c r="L29" i="11"/>
  <c r="K29" i="11"/>
  <c r="J29" i="11"/>
  <c r="I29" i="11"/>
  <c r="H29" i="11"/>
  <c r="G29" i="11"/>
  <c r="F29" i="11"/>
  <c r="E29" i="11"/>
  <c r="D29" i="11"/>
  <c r="C29" i="11"/>
  <c r="L30" i="11"/>
  <c r="K30" i="11"/>
  <c r="J30" i="11"/>
  <c r="I30" i="11"/>
  <c r="H30" i="11"/>
  <c r="G30" i="11"/>
  <c r="F30" i="11"/>
  <c r="E30" i="11"/>
  <c r="D30" i="11"/>
  <c r="C30" i="11"/>
  <c r="C24" i="11"/>
  <c r="D24" i="11"/>
  <c r="L24" i="11"/>
  <c r="K24" i="11"/>
  <c r="J24" i="11"/>
  <c r="I24" i="11"/>
  <c r="H24" i="11"/>
  <c r="G24" i="11"/>
  <c r="F24" i="11"/>
  <c r="E24" i="11"/>
  <c r="A24" i="11"/>
  <c r="J25" i="11"/>
  <c r="G25" i="11"/>
  <c r="F25" i="11"/>
  <c r="E25" i="11"/>
  <c r="D25" i="11"/>
  <c r="L22" i="11"/>
  <c r="I22" i="11"/>
  <c r="H22" i="11"/>
  <c r="C9" i="11"/>
  <c r="O9" i="11" s="1"/>
  <c r="A9" i="11"/>
  <c r="A8" i="11"/>
  <c r="C55" i="11"/>
  <c r="L16" i="11"/>
  <c r="K16" i="11"/>
  <c r="J16" i="11"/>
  <c r="I16" i="11"/>
  <c r="H16" i="11"/>
  <c r="G16" i="11"/>
  <c r="F16" i="11"/>
  <c r="E16" i="11"/>
  <c r="D16" i="11"/>
  <c r="C16" i="11"/>
  <c r="D12" i="11" l="1"/>
  <c r="D13" i="11" s="1"/>
  <c r="D54" i="11"/>
  <c r="L12" i="11"/>
  <c r="L13" i="11" s="1"/>
  <c r="L17" i="11" s="1"/>
  <c r="L18" i="11" s="1"/>
  <c r="O55" i="11"/>
  <c r="O16" i="11"/>
  <c r="O29" i="11"/>
  <c r="M15" i="5"/>
  <c r="O41" i="11"/>
  <c r="O21" i="11"/>
  <c r="O26" i="11"/>
  <c r="O39" i="11"/>
  <c r="O36" i="11"/>
  <c r="O37" i="11"/>
  <c r="O35" i="11"/>
  <c r="O31" i="11"/>
  <c r="O24" i="11"/>
  <c r="O30" i="11"/>
  <c r="C54" i="11"/>
  <c r="O11" i="11"/>
  <c r="G32" i="11"/>
  <c r="K32" i="11"/>
  <c r="E32" i="11"/>
  <c r="D32" i="11"/>
  <c r="H32" i="11"/>
  <c r="L32" i="11"/>
  <c r="I32" i="11"/>
  <c r="F32" i="11"/>
  <c r="J32" i="11"/>
  <c r="K13" i="11"/>
  <c r="K17" i="11" s="1"/>
  <c r="K18" i="11" s="1"/>
  <c r="H13" i="11"/>
  <c r="H17" i="11" s="1"/>
  <c r="H18" i="11" s="1"/>
  <c r="C32" i="11"/>
  <c r="I13" i="11"/>
  <c r="I17" i="11" s="1"/>
  <c r="I18" i="11" s="1"/>
  <c r="E13" i="11"/>
  <c r="E17" i="11" s="1"/>
  <c r="E18" i="11" s="1"/>
  <c r="G13" i="11"/>
  <c r="G17" i="11" s="1"/>
  <c r="G18" i="11" s="1"/>
  <c r="C12" i="11"/>
  <c r="L24" i="7"/>
  <c r="K24" i="7"/>
  <c r="L14" i="7"/>
  <c r="K14" i="7"/>
  <c r="L10" i="7"/>
  <c r="L11" i="7" s="1"/>
  <c r="K10" i="7"/>
  <c r="K11" i="7" s="1"/>
  <c r="L28" i="8"/>
  <c r="K28" i="8"/>
  <c r="L10" i="8"/>
  <c r="L11" i="8" s="1"/>
  <c r="L15" i="8" s="1"/>
  <c r="L16" i="8" s="1"/>
  <c r="K10" i="8"/>
  <c r="K11" i="8" s="1"/>
  <c r="K15" i="8" s="1"/>
  <c r="K16" i="8" s="1"/>
  <c r="L24" i="6"/>
  <c r="K24" i="6"/>
  <c r="L14" i="6"/>
  <c r="K14" i="6"/>
  <c r="L10" i="6"/>
  <c r="L11" i="6" s="1"/>
  <c r="K10" i="6"/>
  <c r="K11" i="6" s="1"/>
  <c r="L24" i="5"/>
  <c r="K24" i="5"/>
  <c r="L14" i="5"/>
  <c r="K14" i="5"/>
  <c r="L10" i="5"/>
  <c r="L11" i="5" s="1"/>
  <c r="K10" i="5"/>
  <c r="K11" i="5" s="1"/>
  <c r="C34" i="4"/>
  <c r="H11" i="4"/>
  <c r="H15" i="4" s="1"/>
  <c r="H16" i="4" s="1"/>
  <c r="H35" i="4" s="1"/>
  <c r="G11" i="4"/>
  <c r="G15" i="4" s="1"/>
  <c r="G16" i="4" s="1"/>
  <c r="G35" i="4" s="1"/>
  <c r="F11" i="4"/>
  <c r="F15" i="4" s="1"/>
  <c r="F16" i="4" s="1"/>
  <c r="E11" i="4"/>
  <c r="E15" i="4" s="1"/>
  <c r="E16" i="4" s="1"/>
  <c r="D11" i="4"/>
  <c r="D15" i="4" s="1"/>
  <c r="D16" i="4" s="1"/>
  <c r="C11" i="4"/>
  <c r="C15" i="4" s="1"/>
  <c r="C16" i="4" s="1"/>
  <c r="L24" i="4"/>
  <c r="K24" i="4"/>
  <c r="L10" i="4"/>
  <c r="L11" i="4" s="1"/>
  <c r="L15" i="4" s="1"/>
  <c r="L16" i="4" s="1"/>
  <c r="K10" i="4"/>
  <c r="K11" i="4" s="1"/>
  <c r="K15" i="4" s="1"/>
  <c r="K16" i="4" s="1"/>
  <c r="L14" i="3"/>
  <c r="K14" i="3"/>
  <c r="L10" i="3"/>
  <c r="L11" i="3" s="1"/>
  <c r="K10" i="3"/>
  <c r="K11" i="3" s="1"/>
  <c r="K10" i="9"/>
  <c r="K11" i="9" s="1"/>
  <c r="K13" i="9" s="1"/>
  <c r="K14" i="9" s="1"/>
  <c r="J10" i="9"/>
  <c r="J11" i="9" s="1"/>
  <c r="J13" i="9" s="1"/>
  <c r="J14" i="9" s="1"/>
  <c r="K24" i="9"/>
  <c r="J24" i="9"/>
  <c r="L25" i="11"/>
  <c r="L43" i="11" s="1"/>
  <c r="L44" i="11" s="1"/>
  <c r="K25" i="11"/>
  <c r="K22" i="11"/>
  <c r="K15" i="1"/>
  <c r="K19" i="1" s="1"/>
  <c r="K20" i="1" s="1"/>
  <c r="J15" i="1"/>
  <c r="J19" i="1" s="1"/>
  <c r="J20" i="1" s="1"/>
  <c r="K43" i="11" l="1"/>
  <c r="K44" i="11" s="1"/>
  <c r="K45" i="11" s="1"/>
  <c r="L45" i="11"/>
  <c r="D48" i="11"/>
  <c r="D58" i="11" s="1"/>
  <c r="D63" i="11"/>
  <c r="O12" i="11"/>
  <c r="K15" i="5"/>
  <c r="K16" i="5" s="1"/>
  <c r="L15" i="5"/>
  <c r="L16" i="5" s="1"/>
  <c r="L15" i="6"/>
  <c r="L16" i="6" s="1"/>
  <c r="K15" i="6"/>
  <c r="K16" i="6" s="1"/>
  <c r="K15" i="7"/>
  <c r="K16" i="7" s="1"/>
  <c r="C35" i="4"/>
  <c r="L15" i="7"/>
  <c r="L16" i="7" s="1"/>
  <c r="M16" i="5"/>
  <c r="O54" i="11"/>
  <c r="C63" i="11"/>
  <c r="O32" i="11"/>
  <c r="D17" i="11"/>
  <c r="C13" i="11"/>
  <c r="C17" i="11" s="1"/>
  <c r="C48" i="11"/>
  <c r="K15" i="3"/>
  <c r="K16" i="3" s="1"/>
  <c r="F13" i="11"/>
  <c r="F17" i="11" s="1"/>
  <c r="F18" i="11" s="1"/>
  <c r="J13" i="11"/>
  <c r="J17" i="11" s="1"/>
  <c r="J18" i="11" s="1"/>
  <c r="L15" i="3"/>
  <c r="L16" i="3" s="1"/>
  <c r="D57" i="11" l="1"/>
  <c r="O48" i="11"/>
  <c r="O13" i="11"/>
  <c r="D18" i="11"/>
  <c r="O17" i="11"/>
  <c r="C57" i="11"/>
  <c r="C58" i="11"/>
  <c r="C18" i="11"/>
  <c r="J24" i="7"/>
  <c r="O18" i="11" l="1"/>
  <c r="I24" i="5"/>
  <c r="H24" i="5"/>
  <c r="G24" i="5"/>
  <c r="F24" i="5"/>
  <c r="E24" i="5"/>
  <c r="D24" i="5"/>
  <c r="D45" i="5" s="1"/>
  <c r="C24" i="5"/>
  <c r="J24" i="5"/>
  <c r="J14" i="5"/>
  <c r="I14" i="5"/>
  <c r="J10" i="5"/>
  <c r="J11" i="5" s="1"/>
  <c r="I10" i="5"/>
  <c r="I11" i="5" s="1"/>
  <c r="H24" i="7"/>
  <c r="G24" i="7"/>
  <c r="F24" i="7"/>
  <c r="E24" i="7"/>
  <c r="D24" i="7"/>
  <c r="D45" i="7" s="1"/>
  <c r="C24" i="7"/>
  <c r="I24" i="7"/>
  <c r="J14" i="7"/>
  <c r="I14" i="7"/>
  <c r="J10" i="7"/>
  <c r="J11" i="7" s="1"/>
  <c r="I10" i="7"/>
  <c r="I11" i="7" s="1"/>
  <c r="J24" i="6"/>
  <c r="I24" i="6"/>
  <c r="J14" i="6"/>
  <c r="I14" i="6"/>
  <c r="J10" i="6"/>
  <c r="J11" i="6" s="1"/>
  <c r="I10" i="6"/>
  <c r="I11" i="6" s="1"/>
  <c r="D54" i="7" l="1"/>
  <c r="D53" i="7"/>
  <c r="D48" i="7"/>
  <c r="D49" i="7" s="1"/>
  <c r="D54" i="5"/>
  <c r="D53" i="5"/>
  <c r="D48" i="5"/>
  <c r="D49" i="5" s="1"/>
  <c r="I15" i="6"/>
  <c r="I16" i="6" s="1"/>
  <c r="J15" i="5"/>
  <c r="J16" i="5" s="1"/>
  <c r="O24" i="7"/>
  <c r="J15" i="6"/>
  <c r="J16" i="6" s="1"/>
  <c r="O24" i="5"/>
  <c r="I15" i="5"/>
  <c r="I16" i="5" s="1"/>
  <c r="I15" i="7"/>
  <c r="I16" i="7" s="1"/>
  <c r="J15" i="7"/>
  <c r="J16" i="7" s="1"/>
  <c r="I10" i="9"/>
  <c r="I11" i="9" s="1"/>
  <c r="I13" i="9" s="1"/>
  <c r="I14" i="9" s="1"/>
  <c r="H10" i="9"/>
  <c r="H11" i="9" s="1"/>
  <c r="H13" i="9" s="1"/>
  <c r="H14" i="9" s="1"/>
  <c r="H24" i="9"/>
  <c r="G24" i="9"/>
  <c r="F24" i="9"/>
  <c r="E24" i="9"/>
  <c r="D24" i="9"/>
  <c r="C24" i="9"/>
  <c r="B24" i="9"/>
  <c r="I24" i="9"/>
  <c r="J28" i="8"/>
  <c r="I28" i="8"/>
  <c r="H28" i="8"/>
  <c r="H37" i="8" s="1"/>
  <c r="H38" i="8" s="1"/>
  <c r="G28" i="8"/>
  <c r="F28" i="8"/>
  <c r="E28" i="8"/>
  <c r="D28" i="8"/>
  <c r="D50" i="8" s="1"/>
  <c r="C28" i="8"/>
  <c r="J10" i="8"/>
  <c r="J11" i="8" s="1"/>
  <c r="J15" i="8" s="1"/>
  <c r="J16" i="8" s="1"/>
  <c r="I10" i="8"/>
  <c r="I11" i="8" s="1"/>
  <c r="I15" i="8" s="1"/>
  <c r="I16" i="8" s="1"/>
  <c r="I24" i="4"/>
  <c r="J24" i="4"/>
  <c r="J10" i="4"/>
  <c r="J14" i="3"/>
  <c r="I14" i="3"/>
  <c r="D58" i="8" l="1"/>
  <c r="D53" i="8"/>
  <c r="D54" i="8" s="1"/>
  <c r="D59" i="8"/>
  <c r="O28" i="8"/>
  <c r="O32" i="5"/>
  <c r="O24" i="4"/>
  <c r="J11" i="4"/>
  <c r="J15" i="4" s="1"/>
  <c r="J16" i="4" s="1"/>
  <c r="N24" i="9"/>
  <c r="I10" i="3"/>
  <c r="I11" i="3" s="1"/>
  <c r="I15" i="3" s="1"/>
  <c r="I16" i="3" s="1"/>
  <c r="J10" i="3"/>
  <c r="J11" i="3" s="1"/>
  <c r="J15" i="3" s="1"/>
  <c r="J16" i="3" s="1"/>
  <c r="I10" i="4"/>
  <c r="I8" i="2"/>
  <c r="H8" i="2"/>
  <c r="I25" i="11"/>
  <c r="I43" i="11" s="1"/>
  <c r="I44" i="11" s="1"/>
  <c r="I45" i="11" s="1"/>
  <c r="J22" i="11"/>
  <c r="I15" i="1"/>
  <c r="H15" i="1"/>
  <c r="I8" i="1"/>
  <c r="H8" i="1"/>
  <c r="I19" i="1"/>
  <c r="H19" i="1"/>
  <c r="H20" i="1" s="1"/>
  <c r="J43" i="11" l="1"/>
  <c r="J44" i="11" s="1"/>
  <c r="J45" i="11" s="1"/>
  <c r="I20" i="1"/>
  <c r="N36" i="9"/>
  <c r="O34" i="4"/>
  <c r="O33" i="4"/>
  <c r="O10" i="4"/>
  <c r="I11" i="4"/>
  <c r="O11" i="4" l="1"/>
  <c r="I15" i="4"/>
  <c r="C44" i="7"/>
  <c r="C49" i="8"/>
  <c r="C48" i="8"/>
  <c r="C42" i="8" s="1"/>
  <c r="C46" i="6"/>
  <c r="C45" i="6"/>
  <c r="C39" i="6" s="1"/>
  <c r="C44" i="5"/>
  <c r="C43" i="5"/>
  <c r="C45" i="5"/>
  <c r="C46" i="4"/>
  <c r="C45" i="4"/>
  <c r="C44" i="4"/>
  <c r="C38" i="4" s="1"/>
  <c r="C46" i="3"/>
  <c r="C54" i="6" l="1"/>
  <c r="O46" i="3"/>
  <c r="C37" i="5"/>
  <c r="C47" i="5" s="1"/>
  <c r="O49" i="8"/>
  <c r="O45" i="4"/>
  <c r="O46" i="6"/>
  <c r="C57" i="8"/>
  <c r="C52" i="5"/>
  <c r="O45" i="6"/>
  <c r="O44" i="7"/>
  <c r="O48" i="8"/>
  <c r="O46" i="4"/>
  <c r="O44" i="4"/>
  <c r="O15" i="4"/>
  <c r="I16" i="4"/>
  <c r="C53" i="4"/>
  <c r="C52" i="8"/>
  <c r="C51" i="8"/>
  <c r="C49" i="6"/>
  <c r="C48" i="6"/>
  <c r="C53" i="5"/>
  <c r="C54" i="5"/>
  <c r="C48" i="4"/>
  <c r="C49" i="4"/>
  <c r="C47" i="4"/>
  <c r="C55" i="4"/>
  <c r="C54" i="4"/>
  <c r="F10" i="9"/>
  <c r="F11" i="9" s="1"/>
  <c r="F13" i="9" s="1"/>
  <c r="F14" i="9" s="1"/>
  <c r="F38" i="9" s="1"/>
  <c r="E10" i="9"/>
  <c r="E11" i="9" s="1"/>
  <c r="E13" i="9" s="1"/>
  <c r="E14" i="9" s="1"/>
  <c r="D10" i="9"/>
  <c r="D11" i="9" s="1"/>
  <c r="D13" i="9" s="1"/>
  <c r="D14" i="9" s="1"/>
  <c r="D38" i="9" s="1"/>
  <c r="C10" i="9"/>
  <c r="B10" i="9"/>
  <c r="C46" i="5" l="1"/>
  <c r="C48" i="5"/>
  <c r="O39" i="6"/>
  <c r="O42" i="8"/>
  <c r="O38" i="4"/>
  <c r="O16" i="4"/>
  <c r="O35" i="4"/>
  <c r="B11" i="9"/>
  <c r="G10" i="9"/>
  <c r="G11" i="9" s="1"/>
  <c r="G13" i="9" s="1"/>
  <c r="G14" i="9" s="1"/>
  <c r="G38" i="9" s="1"/>
  <c r="C50" i="4"/>
  <c r="C11" i="9"/>
  <c r="C49" i="5" l="1"/>
  <c r="C13" i="9"/>
  <c r="N11" i="9"/>
  <c r="N10" i="9"/>
  <c r="B13" i="9"/>
  <c r="H14" i="8"/>
  <c r="G14" i="8"/>
  <c r="F14" i="8"/>
  <c r="E14" i="8"/>
  <c r="D14" i="8"/>
  <c r="C14" i="8"/>
  <c r="G10" i="8"/>
  <c r="G11" i="8" s="1"/>
  <c r="F10" i="8"/>
  <c r="F11" i="8" s="1"/>
  <c r="E11" i="8"/>
  <c r="C10" i="8"/>
  <c r="C11" i="8" s="1"/>
  <c r="H10" i="8"/>
  <c r="H11" i="8" s="1"/>
  <c r="D10" i="8"/>
  <c r="E15" i="8" l="1"/>
  <c r="E16" i="8" s="1"/>
  <c r="O14" i="8"/>
  <c r="O10" i="8"/>
  <c r="C14" i="9"/>
  <c r="C38" i="9" s="1"/>
  <c r="N13" i="9"/>
  <c r="B37" i="9"/>
  <c r="B14" i="9"/>
  <c r="H15" i="8"/>
  <c r="H16" i="8" s="1"/>
  <c r="H39" i="8" s="1"/>
  <c r="G15" i="8"/>
  <c r="G16" i="8" s="1"/>
  <c r="G39" i="8" s="1"/>
  <c r="F15" i="8"/>
  <c r="F16" i="8" s="1"/>
  <c r="D11" i="8"/>
  <c r="C50" i="8"/>
  <c r="C15" i="8"/>
  <c r="O37" i="8" l="1"/>
  <c r="O50" i="8"/>
  <c r="D15" i="8"/>
  <c r="O11" i="8"/>
  <c r="N37" i="9"/>
  <c r="N14" i="9"/>
  <c r="B38" i="9"/>
  <c r="C58" i="8"/>
  <c r="C53" i="8"/>
  <c r="C59" i="8"/>
  <c r="C38" i="8"/>
  <c r="O38" i="8" s="1"/>
  <c r="C16" i="8"/>
  <c r="D16" i="8" l="1"/>
  <c r="O15" i="8"/>
  <c r="N38" i="9"/>
  <c r="C54" i="8"/>
  <c r="C39" i="8"/>
  <c r="O39" i="8" l="1"/>
  <c r="O16" i="8"/>
  <c r="H14" i="7"/>
  <c r="G14" i="7"/>
  <c r="F14" i="7"/>
  <c r="E14" i="7"/>
  <c r="D14" i="7"/>
  <c r="C14" i="7"/>
  <c r="O14" i="7" l="1"/>
  <c r="D10" i="7"/>
  <c r="C33" i="7"/>
  <c r="E10" i="7"/>
  <c r="E11" i="7" s="1"/>
  <c r="E15" i="7" s="1"/>
  <c r="E16" i="7" s="1"/>
  <c r="H10" i="7"/>
  <c r="H11" i="7" s="1"/>
  <c r="H15" i="7" s="1"/>
  <c r="H16" i="7" s="1"/>
  <c r="H34" i="7" s="1"/>
  <c r="F10" i="7"/>
  <c r="F11" i="7" s="1"/>
  <c r="F15" i="7" s="1"/>
  <c r="F16" i="7" s="1"/>
  <c r="C10" i="7"/>
  <c r="C11" i="7" s="1"/>
  <c r="C43" i="7"/>
  <c r="G10" i="7"/>
  <c r="G11" i="7" s="1"/>
  <c r="G15" i="7" s="1"/>
  <c r="G16" i="7" s="1"/>
  <c r="G34" i="7" s="1"/>
  <c r="G24" i="6"/>
  <c r="F24" i="6"/>
  <c r="E24" i="6"/>
  <c r="D24" i="6"/>
  <c r="D47" i="6" s="1"/>
  <c r="C24" i="6"/>
  <c r="H24" i="6"/>
  <c r="H34" i="6" s="1"/>
  <c r="H35" i="6" s="1"/>
  <c r="H14" i="6"/>
  <c r="G14" i="6"/>
  <c r="F14" i="6"/>
  <c r="E14" i="6"/>
  <c r="D14" i="6"/>
  <c r="C14" i="6"/>
  <c r="G10" i="6"/>
  <c r="G11" i="6" s="1"/>
  <c r="C10" i="6"/>
  <c r="C11" i="6" s="1"/>
  <c r="H10" i="6"/>
  <c r="H11" i="6" s="1"/>
  <c r="H15" i="6" s="1"/>
  <c r="H16" i="6" s="1"/>
  <c r="H36" i="6" s="1"/>
  <c r="F10" i="6"/>
  <c r="F11" i="6" s="1"/>
  <c r="D10" i="6"/>
  <c r="D55" i="6" l="1"/>
  <c r="D56" i="6"/>
  <c r="D50" i="6"/>
  <c r="D51" i="6" s="1"/>
  <c r="O24" i="6"/>
  <c r="C47" i="6"/>
  <c r="F15" i="6"/>
  <c r="F16" i="6" s="1"/>
  <c r="O14" i="6"/>
  <c r="G15" i="6"/>
  <c r="G16" i="6" s="1"/>
  <c r="O32" i="7"/>
  <c r="O43" i="7"/>
  <c r="D11" i="7"/>
  <c r="O10" i="7"/>
  <c r="D11" i="6"/>
  <c r="C45" i="7"/>
  <c r="C37" i="7"/>
  <c r="C46" i="7" s="1"/>
  <c r="C52" i="7"/>
  <c r="C15" i="7"/>
  <c r="C35" i="6"/>
  <c r="C15" i="6"/>
  <c r="E10" i="6"/>
  <c r="E11" i="6" s="1"/>
  <c r="E15" i="6" s="1"/>
  <c r="E16" i="6" s="1"/>
  <c r="H14" i="5"/>
  <c r="G14" i="5"/>
  <c r="F14" i="5"/>
  <c r="E14" i="5"/>
  <c r="D14" i="5"/>
  <c r="C14" i="5"/>
  <c r="H10" i="5"/>
  <c r="H11" i="5" s="1"/>
  <c r="G10" i="5"/>
  <c r="G11" i="5" s="1"/>
  <c r="F10" i="5"/>
  <c r="F11" i="5" s="1"/>
  <c r="E10" i="5"/>
  <c r="E11" i="5" s="1"/>
  <c r="D10" i="5"/>
  <c r="C10" i="5"/>
  <c r="F15" i="5" l="1"/>
  <c r="F16" i="5" s="1"/>
  <c r="O34" i="6"/>
  <c r="C56" i="6"/>
  <c r="C55" i="6"/>
  <c r="C50" i="6"/>
  <c r="O45" i="7"/>
  <c r="E15" i="5"/>
  <c r="E16" i="5" s="1"/>
  <c r="O14" i="5"/>
  <c r="O33" i="7"/>
  <c r="O11" i="7"/>
  <c r="D15" i="7"/>
  <c r="O37" i="7"/>
  <c r="O35" i="6"/>
  <c r="O10" i="6"/>
  <c r="D15" i="6"/>
  <c r="O11" i="6"/>
  <c r="D11" i="5"/>
  <c r="D15" i="5" s="1"/>
  <c r="O10" i="5"/>
  <c r="C53" i="7"/>
  <c r="C54" i="7"/>
  <c r="C48" i="7"/>
  <c r="C47" i="7"/>
  <c r="G15" i="5"/>
  <c r="G16" i="5" s="1"/>
  <c r="G34" i="5" s="1"/>
  <c r="H15" i="5"/>
  <c r="H16" i="5" s="1"/>
  <c r="H34" i="5" s="1"/>
  <c r="C16" i="7"/>
  <c r="C16" i="6"/>
  <c r="C11" i="5"/>
  <c r="C33" i="5"/>
  <c r="O33" i="5" s="1"/>
  <c r="H14" i="3"/>
  <c r="G14" i="3"/>
  <c r="E14" i="3"/>
  <c r="D14" i="3"/>
  <c r="C14" i="3"/>
  <c r="F14" i="3"/>
  <c r="G8" i="2"/>
  <c r="F8" i="2"/>
  <c r="E8" i="2"/>
  <c r="D8" i="2"/>
  <c r="C8" i="2"/>
  <c r="B8" i="2"/>
  <c r="G15" i="1"/>
  <c r="G19" i="1" s="1"/>
  <c r="F15" i="1"/>
  <c r="F19" i="1" s="1"/>
  <c r="E15" i="1"/>
  <c r="D15" i="1"/>
  <c r="D18" i="1" s="1"/>
  <c r="B15" i="1"/>
  <c r="B18" i="1" s="1"/>
  <c r="C15" i="1"/>
  <c r="C18" i="1" s="1"/>
  <c r="E19" i="1"/>
  <c r="G8" i="1"/>
  <c r="F8" i="1"/>
  <c r="E8" i="1"/>
  <c r="D8" i="1"/>
  <c r="C8" i="1"/>
  <c r="B8" i="1"/>
  <c r="F20" i="1" l="1"/>
  <c r="C51" i="6"/>
  <c r="E20" i="1"/>
  <c r="N8" i="1"/>
  <c r="C49" i="7"/>
  <c r="D16" i="7"/>
  <c r="O15" i="7"/>
  <c r="O47" i="6"/>
  <c r="D16" i="6"/>
  <c r="O15" i="6"/>
  <c r="O11" i="5"/>
  <c r="D16" i="5"/>
  <c r="N15" i="1"/>
  <c r="G20" i="1"/>
  <c r="O14" i="3"/>
  <c r="N12" i="2"/>
  <c r="H25" i="11"/>
  <c r="H43" i="11" s="1"/>
  <c r="H44" i="11" s="1"/>
  <c r="H45" i="11" s="1"/>
  <c r="B20" i="2"/>
  <c r="N11" i="2"/>
  <c r="C22" i="11"/>
  <c r="G22" i="11"/>
  <c r="G43" i="11" s="1"/>
  <c r="G44" i="11" s="1"/>
  <c r="G45" i="11" s="1"/>
  <c r="D22" i="11"/>
  <c r="N15" i="2"/>
  <c r="O38" i="11"/>
  <c r="N8" i="2"/>
  <c r="E22" i="11"/>
  <c r="E43" i="11" s="1"/>
  <c r="E44" i="11" s="1"/>
  <c r="E45" i="11" s="1"/>
  <c r="N13" i="2"/>
  <c r="C33" i="11"/>
  <c r="O33" i="11" s="1"/>
  <c r="F22" i="11"/>
  <c r="F43" i="11" s="1"/>
  <c r="F44" i="11" s="1"/>
  <c r="F45" i="11" s="1"/>
  <c r="F10" i="3"/>
  <c r="F11" i="3" s="1"/>
  <c r="F15" i="3" s="1"/>
  <c r="F16" i="3" s="1"/>
  <c r="C10" i="3"/>
  <c r="C45" i="3"/>
  <c r="G10" i="3"/>
  <c r="G11" i="3" s="1"/>
  <c r="G15" i="3" s="1"/>
  <c r="G16" i="3" s="1"/>
  <c r="D10" i="3"/>
  <c r="D11" i="3" s="1"/>
  <c r="D15" i="3" s="1"/>
  <c r="D16" i="3" s="1"/>
  <c r="H10" i="3"/>
  <c r="H11" i="3" s="1"/>
  <c r="H15" i="3" s="1"/>
  <c r="H16" i="3" s="1"/>
  <c r="E10" i="3"/>
  <c r="C34" i="7"/>
  <c r="C36" i="6"/>
  <c r="C15" i="5"/>
  <c r="O15" i="5" s="1"/>
  <c r="B19" i="1"/>
  <c r="D19" i="1"/>
  <c r="D20" i="1" s="1"/>
  <c r="D43" i="11" l="1"/>
  <c r="D44" i="11" s="1"/>
  <c r="D45" i="11" s="1"/>
  <c r="C43" i="11"/>
  <c r="O45" i="3"/>
  <c r="O25" i="11"/>
  <c r="O25" i="3"/>
  <c r="O34" i="3"/>
  <c r="O16" i="7"/>
  <c r="O34" i="7"/>
  <c r="O36" i="6"/>
  <c r="O16" i="6"/>
  <c r="E11" i="3"/>
  <c r="O10" i="3"/>
  <c r="O22" i="11"/>
  <c r="C19" i="1"/>
  <c r="N18" i="1"/>
  <c r="N20" i="2"/>
  <c r="B21" i="2"/>
  <c r="N21" i="2" s="1"/>
  <c r="N19" i="2"/>
  <c r="C39" i="3"/>
  <c r="C54" i="3"/>
  <c r="C11" i="3"/>
  <c r="C35" i="3"/>
  <c r="C47" i="3"/>
  <c r="C16" i="5"/>
  <c r="O16" i="5" s="1"/>
  <c r="B20" i="1"/>
  <c r="D56" i="11" l="1"/>
  <c r="C48" i="3"/>
  <c r="O39" i="3"/>
  <c r="O11" i="3"/>
  <c r="E15" i="3"/>
  <c r="E16" i="3" s="1"/>
  <c r="O43" i="11"/>
  <c r="N19" i="1"/>
  <c r="C20" i="1"/>
  <c r="N20" i="1" s="1"/>
  <c r="C44" i="11"/>
  <c r="C56" i="11"/>
  <c r="C15" i="3"/>
  <c r="C49" i="3"/>
  <c r="O35" i="3"/>
  <c r="O47" i="3"/>
  <c r="C56" i="3"/>
  <c r="C50" i="3"/>
  <c r="C55" i="3"/>
  <c r="C34" i="5"/>
  <c r="O34" i="5" s="1"/>
  <c r="D65" i="11" l="1"/>
  <c r="D64" i="11"/>
  <c r="D59" i="11"/>
  <c r="D60" i="11" s="1"/>
  <c r="O15" i="3"/>
  <c r="O56" i="11"/>
  <c r="O44" i="11"/>
  <c r="C65" i="11"/>
  <c r="C59" i="11"/>
  <c r="C64" i="11"/>
  <c r="C45" i="11"/>
  <c r="O45" i="11" s="1"/>
  <c r="C16" i="3"/>
  <c r="O16" i="3" s="1"/>
  <c r="C51" i="3"/>
  <c r="C60" i="11" l="1"/>
  <c r="C36" i="3"/>
  <c r="O36" i="3" l="1"/>
</calcChain>
</file>

<file path=xl/sharedStrings.xml><?xml version="1.0" encoding="utf-8"?>
<sst xmlns="http://schemas.openxmlformats.org/spreadsheetml/2006/main" count="534" uniqueCount="81">
  <si>
    <t>Avalon Energy Ltd.</t>
  </si>
  <si>
    <t>Operating Statement 100/05-30-009-07 W4</t>
  </si>
  <si>
    <t>Total</t>
  </si>
  <si>
    <t>Income</t>
  </si>
  <si>
    <t>Total Income</t>
  </si>
  <si>
    <t>Gross Profit</t>
  </si>
  <si>
    <t>Expenses</t>
  </si>
  <si>
    <t xml:space="preserve">   LEASE OPERATING</t>
  </si>
  <si>
    <t xml:space="preserve">      Fuel/Utilities</t>
  </si>
  <si>
    <t xml:space="preserve">      Lease Rentals</t>
  </si>
  <si>
    <t xml:space="preserve">         Crown Surface Rentals</t>
  </si>
  <si>
    <t xml:space="preserve">         FH Surface Rentals</t>
  </si>
  <si>
    <t xml:space="preserve">      Total Lease Rentals</t>
  </si>
  <si>
    <t xml:space="preserve">      Licences/Fees</t>
  </si>
  <si>
    <t xml:space="preserve">   Total LEASE OPERATING</t>
  </si>
  <si>
    <t>Total Expenses</t>
  </si>
  <si>
    <t>Profit</t>
  </si>
  <si>
    <t xml:space="preserve">      Contract Operator and Labour</t>
  </si>
  <si>
    <t xml:space="preserve">      Small Parts</t>
  </si>
  <si>
    <t>Operating Statement 100/10-36-009-08 W4 Water Source Well</t>
  </si>
  <si>
    <t>Operating Statement 102/08-35-009-08 W4</t>
  </si>
  <si>
    <t xml:space="preserve">   REVENUE</t>
  </si>
  <si>
    <t xml:space="preserve">      Oil &amp; Gas Sales</t>
  </si>
  <si>
    <t xml:space="preserve">         Oil</t>
  </si>
  <si>
    <t xml:space="preserve">      Total Oil &amp; Gas Sales</t>
  </si>
  <si>
    <t xml:space="preserve">   Total REVENUE</t>
  </si>
  <si>
    <t xml:space="preserve">   ROYALTIES EXPENSE</t>
  </si>
  <si>
    <t xml:space="preserve">   Total ROYALTIES EXPENSE</t>
  </si>
  <si>
    <t xml:space="preserve">      Chemicals</t>
  </si>
  <si>
    <t xml:space="preserve">      Repairs/Maintenance</t>
  </si>
  <si>
    <t xml:space="preserve">      Road/Lease</t>
  </si>
  <si>
    <t xml:space="preserve">      Supplies</t>
  </si>
  <si>
    <t xml:space="preserve">      Trucking</t>
  </si>
  <si>
    <t>Operating Statement 102/08-36-009-08 W4</t>
  </si>
  <si>
    <t>Crown Royalty</t>
  </si>
  <si>
    <t>Operating Statement:  SATELLITE 10-36-9-8; WELLS 100/12-31; 102/12-31-9-7 W4</t>
  </si>
  <si>
    <t xml:space="preserve">      Instrumentation &amp; Computer</t>
  </si>
  <si>
    <t>*</t>
  </si>
  <si>
    <t>Operating Statement:  SAT 15-36-9-8  WELLS 102/14-31 &amp; 103/14-31-9-7 W4</t>
  </si>
  <si>
    <t>Operating Statement:  SAT 9-36-9-8 W4:  WELLS 100/5-36, 100/12-36 &amp; 102/12-36-9-8 W4</t>
  </si>
  <si>
    <t>Operating Statement:  FAC 7-36-9-8; INJ 5-31-9-7 W4</t>
  </si>
  <si>
    <t xml:space="preserve">Water Disposal </t>
  </si>
  <si>
    <t xml:space="preserve">     Water Disposal </t>
  </si>
  <si>
    <t>REVENUE  VOLUMES</t>
  </si>
  <si>
    <t>Oil Sales</t>
  </si>
  <si>
    <t>Bbl</t>
  </si>
  <si>
    <t>BOD</t>
  </si>
  <si>
    <t>$/Bbl</t>
  </si>
  <si>
    <t>REVENUE</t>
  </si>
  <si>
    <t>$</t>
  </si>
  <si>
    <t>ROYALTIES</t>
  </si>
  <si>
    <t>EXPENSES</t>
  </si>
  <si>
    <t>NET BACK</t>
  </si>
  <si>
    <t>CROWN ROYALTY</t>
  </si>
  <si>
    <t>%</t>
  </si>
  <si>
    <t>FREEHOLD ROYALTY</t>
  </si>
  <si>
    <t>ROYALTY RATE</t>
  </si>
  <si>
    <t>EXPENSES/SALES</t>
  </si>
  <si>
    <t>EXPENSES/NET REV</t>
  </si>
  <si>
    <t>Oil Prod</t>
  </si>
  <si>
    <t xml:space="preserve">         CR PNG Rentals</t>
  </si>
  <si>
    <t xml:space="preserve">      Safety</t>
  </si>
  <si>
    <t xml:space="preserve">      Equipment Rental</t>
  </si>
  <si>
    <t xml:space="preserve">     Repairs/Maintenance</t>
  </si>
  <si>
    <t xml:space="preserve">Operating Statement Murray Lake </t>
  </si>
  <si>
    <t>Oil &amp; Gas Sales</t>
  </si>
  <si>
    <t xml:space="preserve">         Crown PNG Rentals</t>
  </si>
  <si>
    <t xml:space="preserve"> </t>
  </si>
  <si>
    <t>Freehold Royalty</t>
  </si>
  <si>
    <t xml:space="preserve">        Freehold Royalties</t>
  </si>
  <si>
    <t xml:space="preserve">      Insurance</t>
  </si>
  <si>
    <t xml:space="preserve">      Testing</t>
  </si>
  <si>
    <t xml:space="preserve">         FH PNG Rentals</t>
  </si>
  <si>
    <t xml:space="preserve">      Property Taxes</t>
  </si>
  <si>
    <t xml:space="preserve">     Property Taxes</t>
  </si>
  <si>
    <t>Operating Statement:  FAC 1-25-9-8;  WELLS 100/1-30; 102/2-30; 100/7-30; 100/12-30-9-7 W4</t>
  </si>
  <si>
    <t xml:space="preserve">      Environmental</t>
  </si>
  <si>
    <t xml:space="preserve">       Environmental     </t>
  </si>
  <si>
    <t xml:space="preserve">January 2019 - </t>
  </si>
  <si>
    <t xml:space="preserve">      Workover</t>
  </si>
  <si>
    <t xml:space="preserve">      Processing/Treating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</si>
</sst>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164" formatCode="#,##0.00\ _€"/>
    <numFmt numFmtId="165" formatCode="&quot;$&quot;* #,##0.00\ _€"/>
    <numFmt numFmtId="166" formatCode="0.0"/>
    <numFmt numFmtId="167" formatCode="#,##0.0;\-#,##0.0"/>
    <numFmt numFmtId="168" formatCode="#,##0.00000000000"/>
    <numFmt numFmtId="169" formatCode="#,##0.0\ _€"/>
  </numFmts>
  <fonts count="23" x14ac:knownFonts="1"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8"/>
      <color indexed="8"/>
      <name val="Arial"/>
      <family val="2"/>
    </font>
    <font>
      <b/>
      <strike/>
      <sz val="8"/>
      <color rgb="FF000000"/>
      <name val="Arial"/>
      <family val="2"/>
    </font>
    <font>
      <b/>
      <sz val="8"/>
      <color theme="1"/>
      <name val="Arial"/>
      <family val="2"/>
    </font>
    <font>
      <b/>
      <sz val="14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trike/>
      <sz val="8"/>
      <color rgb="FF000000"/>
      <name val="Arial"/>
      <family val="2"/>
    </font>
    <font>
      <b/>
      <sz val="8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122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164" fontId="5" fillId="0" borderId="0" xfId="0" applyNumberFormat="1" applyFont="1" applyAlignment="1">
      <alignment wrapText="1"/>
    </xf>
    <xf numFmtId="165" fontId="4" fillId="0" borderId="2" xfId="0" applyNumberFormat="1" applyFont="1" applyBorder="1" applyAlignment="1">
      <alignment horizontal="right" wrapText="1"/>
    </xf>
    <xf numFmtId="164" fontId="5" fillId="0" borderId="0" xfId="0" applyNumberFormat="1" applyFont="1" applyAlignment="1">
      <alignment horizontal="right" wrapText="1"/>
    </xf>
    <xf numFmtId="0" fontId="4" fillId="0" borderId="0" xfId="1" applyFont="1" applyAlignment="1">
      <alignment horizontal="left" wrapText="1"/>
    </xf>
    <xf numFmtId="164" fontId="5" fillId="0" borderId="0" xfId="1" applyNumberFormat="1" applyFont="1" applyAlignment="1">
      <alignment wrapText="1"/>
    </xf>
    <xf numFmtId="164" fontId="5" fillId="0" borderId="0" xfId="1" applyNumberFormat="1" applyFont="1" applyAlignment="1">
      <alignment horizontal="right" wrapText="1"/>
    </xf>
    <xf numFmtId="165" fontId="4" fillId="0" borderId="2" xfId="1" applyNumberFormat="1" applyFont="1" applyBorder="1" applyAlignment="1">
      <alignment horizontal="right" wrapText="1"/>
    </xf>
    <xf numFmtId="165" fontId="4" fillId="0" borderId="1" xfId="0" applyNumberFormat="1" applyFont="1" applyBorder="1" applyAlignment="1">
      <alignment horizontal="right" wrapText="1"/>
    </xf>
    <xf numFmtId="165" fontId="4" fillId="0" borderId="0" xfId="0" applyNumberFormat="1" applyFont="1" applyAlignment="1">
      <alignment horizontal="right" wrapText="1"/>
    </xf>
    <xf numFmtId="49" fontId="7" fillId="0" borderId="2" xfId="0" applyNumberFormat="1" applyFont="1" applyBorder="1"/>
    <xf numFmtId="49" fontId="7" fillId="0" borderId="3" xfId="0" applyNumberFormat="1" applyFont="1" applyBorder="1"/>
    <xf numFmtId="0" fontId="0" fillId="0" borderId="3" xfId="0" applyBorder="1"/>
    <xf numFmtId="49" fontId="7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center"/>
    </xf>
    <xf numFmtId="166" fontId="8" fillId="0" borderId="3" xfId="0" applyNumberFormat="1" applyFont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49" fontId="7" fillId="0" borderId="2" xfId="0" applyNumberFormat="1" applyFont="1" applyBorder="1" applyAlignment="1">
      <alignment horizontal="center"/>
    </xf>
    <xf numFmtId="2" fontId="8" fillId="0" borderId="3" xfId="0" applyNumberFormat="1" applyFont="1" applyBorder="1" applyAlignment="1">
      <alignment horizontal="right"/>
    </xf>
    <xf numFmtId="49" fontId="8" fillId="0" borderId="3" xfId="0" applyNumberFormat="1" applyFont="1" applyBorder="1" applyAlignment="1">
      <alignment horizontal="right"/>
    </xf>
    <xf numFmtId="49" fontId="8" fillId="0" borderId="3" xfId="0" applyNumberFormat="1" applyFont="1" applyBorder="1"/>
    <xf numFmtId="2" fontId="9" fillId="0" borderId="3" xfId="0" applyNumberFormat="1" applyFont="1" applyBorder="1"/>
    <xf numFmtId="2" fontId="10" fillId="0" borderId="3" xfId="0" applyNumberFormat="1" applyFont="1" applyBorder="1"/>
    <xf numFmtId="49" fontId="8" fillId="0" borderId="0" xfId="0" applyNumberFormat="1" applyFont="1"/>
    <xf numFmtId="49" fontId="7" fillId="0" borderId="0" xfId="0" applyNumberFormat="1" applyFont="1"/>
    <xf numFmtId="39" fontId="8" fillId="0" borderId="0" xfId="0" applyNumberFormat="1" applyFont="1"/>
    <xf numFmtId="4" fontId="8" fillId="0" borderId="2" xfId="0" applyNumberFormat="1" applyFont="1" applyBorder="1"/>
    <xf numFmtId="4" fontId="8" fillId="0" borderId="0" xfId="0" applyNumberFormat="1" applyFont="1"/>
    <xf numFmtId="49" fontId="11" fillId="0" borderId="2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49" fontId="7" fillId="0" borderId="1" xfId="0" applyNumberFormat="1" applyFont="1" applyBorder="1" applyAlignment="1">
      <alignment horizontal="right"/>
    </xf>
    <xf numFmtId="49" fontId="11" fillId="0" borderId="1" xfId="0" applyNumberFormat="1" applyFont="1" applyBorder="1" applyAlignment="1">
      <alignment horizontal="center"/>
    </xf>
    <xf numFmtId="4" fontId="8" fillId="0" borderId="1" xfId="0" applyNumberFormat="1" applyFont="1" applyBorder="1"/>
    <xf numFmtId="2" fontId="12" fillId="0" borderId="3" xfId="0" applyNumberFormat="1" applyFont="1" applyBorder="1"/>
    <xf numFmtId="167" fontId="7" fillId="0" borderId="3" xfId="0" applyNumberFormat="1" applyFont="1" applyBorder="1"/>
    <xf numFmtId="49" fontId="12" fillId="0" borderId="3" xfId="0" applyNumberFormat="1" applyFont="1" applyBorder="1"/>
    <xf numFmtId="49" fontId="12" fillId="0" borderId="0" xfId="0" applyNumberFormat="1" applyFont="1"/>
    <xf numFmtId="4" fontId="12" fillId="0" borderId="2" xfId="0" applyNumberFormat="1" applyFont="1" applyBorder="1"/>
    <xf numFmtId="4" fontId="12" fillId="0" borderId="0" xfId="0" applyNumberFormat="1" applyFont="1"/>
    <xf numFmtId="4" fontId="12" fillId="0" borderId="1" xfId="0" applyNumberFormat="1" applyFont="1" applyBorder="1"/>
    <xf numFmtId="167" fontId="7" fillId="0" borderId="1" xfId="0" applyNumberFormat="1" applyFont="1" applyBorder="1"/>
    <xf numFmtId="167" fontId="7" fillId="0" borderId="0" xfId="0" applyNumberFormat="1" applyFont="1"/>
    <xf numFmtId="0" fontId="14" fillId="0" borderId="0" xfId="0" applyFont="1"/>
    <xf numFmtId="0" fontId="15" fillId="0" borderId="0" xfId="0" applyFont="1" applyAlignment="1">
      <alignment horizontal="left" wrapText="1"/>
    </xf>
    <xf numFmtId="164" fontId="16" fillId="0" borderId="0" xfId="0" applyNumberFormat="1" applyFont="1" applyAlignment="1">
      <alignment wrapText="1"/>
    </xf>
    <xf numFmtId="164" fontId="16" fillId="0" borderId="0" xfId="0" applyNumberFormat="1" applyFont="1" applyAlignment="1">
      <alignment horizontal="right" wrapText="1"/>
    </xf>
    <xf numFmtId="165" fontId="15" fillId="0" borderId="2" xfId="0" applyNumberFormat="1" applyFont="1" applyBorder="1" applyAlignment="1">
      <alignment horizontal="right" wrapText="1"/>
    </xf>
    <xf numFmtId="49" fontId="17" fillId="0" borderId="2" xfId="0" applyNumberFormat="1" applyFont="1" applyBorder="1"/>
    <xf numFmtId="49" fontId="17" fillId="0" borderId="3" xfId="0" applyNumberFormat="1" applyFont="1" applyBorder="1"/>
    <xf numFmtId="0" fontId="14" fillId="0" borderId="3" xfId="0" applyFont="1" applyBorder="1"/>
    <xf numFmtId="2" fontId="18" fillId="0" borderId="3" xfId="0" applyNumberFormat="1" applyFont="1" applyBorder="1"/>
    <xf numFmtId="49" fontId="17" fillId="0" borderId="0" xfId="0" applyNumberFormat="1" applyFont="1" applyAlignment="1">
      <alignment horizontal="right"/>
    </xf>
    <xf numFmtId="49" fontId="17" fillId="0" borderId="0" xfId="0" applyNumberFormat="1" applyFont="1" applyAlignment="1">
      <alignment horizontal="center"/>
    </xf>
    <xf numFmtId="166" fontId="19" fillId="0" borderId="3" xfId="0" applyNumberFormat="1" applyFont="1" applyBorder="1" applyAlignment="1">
      <alignment horizontal="right"/>
    </xf>
    <xf numFmtId="167" fontId="17" fillId="0" borderId="3" xfId="0" applyNumberFormat="1" applyFont="1" applyBorder="1"/>
    <xf numFmtId="49" fontId="17" fillId="0" borderId="2" xfId="0" applyNumberFormat="1" applyFont="1" applyBorder="1" applyAlignment="1">
      <alignment horizontal="right"/>
    </xf>
    <xf numFmtId="49" fontId="17" fillId="0" borderId="2" xfId="0" applyNumberFormat="1" applyFont="1" applyBorder="1" applyAlignment="1">
      <alignment horizontal="center"/>
    </xf>
    <xf numFmtId="2" fontId="19" fillId="0" borderId="3" xfId="0" applyNumberFormat="1" applyFont="1" applyBorder="1" applyAlignment="1">
      <alignment horizontal="right"/>
    </xf>
    <xf numFmtId="49" fontId="19" fillId="0" borderId="3" xfId="0" applyNumberFormat="1" applyFont="1" applyBorder="1" applyAlignment="1">
      <alignment horizontal="right"/>
    </xf>
    <xf numFmtId="49" fontId="18" fillId="0" borderId="3" xfId="0" applyNumberFormat="1" applyFont="1" applyBorder="1"/>
    <xf numFmtId="49" fontId="19" fillId="0" borderId="0" xfId="0" applyNumberFormat="1" applyFont="1"/>
    <xf numFmtId="49" fontId="17" fillId="0" borderId="0" xfId="0" applyNumberFormat="1" applyFont="1"/>
    <xf numFmtId="49" fontId="18" fillId="0" borderId="0" xfId="0" applyNumberFormat="1" applyFont="1"/>
    <xf numFmtId="39" fontId="19" fillId="0" borderId="0" xfId="0" applyNumberFormat="1" applyFont="1"/>
    <xf numFmtId="4" fontId="19" fillId="0" borderId="2" xfId="0" applyNumberFormat="1" applyFont="1" applyBorder="1"/>
    <xf numFmtId="4" fontId="18" fillId="0" borderId="2" xfId="0" applyNumberFormat="1" applyFont="1" applyBorder="1"/>
    <xf numFmtId="4" fontId="19" fillId="0" borderId="0" xfId="0" applyNumberFormat="1" applyFont="1"/>
    <xf numFmtId="4" fontId="18" fillId="0" borderId="0" xfId="0" applyNumberFormat="1" applyFont="1"/>
    <xf numFmtId="4" fontId="18" fillId="0" borderId="1" xfId="0" applyNumberFormat="1" applyFont="1" applyBorder="1"/>
    <xf numFmtId="49" fontId="20" fillId="0" borderId="2" xfId="0" applyNumberFormat="1" applyFont="1" applyBorder="1" applyAlignment="1">
      <alignment horizontal="center"/>
    </xf>
    <xf numFmtId="49" fontId="20" fillId="0" borderId="0" xfId="0" applyNumberFormat="1" applyFont="1" applyAlignment="1">
      <alignment horizontal="center"/>
    </xf>
    <xf numFmtId="49" fontId="17" fillId="0" borderId="1" xfId="0" applyNumberFormat="1" applyFont="1" applyBorder="1" applyAlignment="1">
      <alignment horizontal="right"/>
    </xf>
    <xf numFmtId="49" fontId="20" fillId="0" borderId="1" xfId="0" applyNumberFormat="1" applyFont="1" applyBorder="1" applyAlignment="1">
      <alignment horizontal="center"/>
    </xf>
    <xf numFmtId="4" fontId="19" fillId="0" borderId="1" xfId="0" applyNumberFormat="1" applyFont="1" applyBorder="1"/>
    <xf numFmtId="164" fontId="5" fillId="0" borderId="2" xfId="0" applyNumberFormat="1" applyFont="1" applyBorder="1" applyAlignment="1">
      <alignment wrapText="1"/>
    </xf>
    <xf numFmtId="164" fontId="10" fillId="0" borderId="0" xfId="0" applyNumberFormat="1" applyFont="1" applyAlignment="1">
      <alignment wrapText="1"/>
    </xf>
    <xf numFmtId="164" fontId="10" fillId="0" borderId="0" xfId="0" applyNumberFormat="1" applyFont="1" applyAlignment="1">
      <alignment horizontal="right" wrapText="1"/>
    </xf>
    <xf numFmtId="164" fontId="21" fillId="0" borderId="3" xfId="0" applyNumberFormat="1" applyFont="1" applyBorder="1" applyAlignment="1">
      <alignment horizontal="right" wrapText="1"/>
    </xf>
    <xf numFmtId="164" fontId="21" fillId="0" borderId="2" xfId="0" applyNumberFormat="1" applyFont="1" applyBorder="1" applyAlignment="1">
      <alignment horizontal="right" wrapText="1"/>
    </xf>
    <xf numFmtId="165" fontId="21" fillId="0" borderId="2" xfId="0" applyNumberFormat="1" applyFont="1" applyBorder="1" applyAlignment="1">
      <alignment horizontal="right" wrapText="1"/>
    </xf>
    <xf numFmtId="0" fontId="21" fillId="0" borderId="0" xfId="0" applyFont="1" applyAlignment="1">
      <alignment horizontal="left" wrapText="1"/>
    </xf>
    <xf numFmtId="165" fontId="21" fillId="0" borderId="0" xfId="0" applyNumberFormat="1" applyFont="1" applyAlignment="1">
      <alignment horizontal="right" wrapText="1"/>
    </xf>
    <xf numFmtId="167" fontId="7" fillId="0" borderId="2" xfId="0" applyNumberFormat="1" applyFont="1" applyBorder="1"/>
    <xf numFmtId="164" fontId="5" fillId="0" borderId="3" xfId="0" applyNumberFormat="1" applyFont="1" applyBorder="1" applyAlignment="1">
      <alignment horizontal="right" wrapText="1"/>
    </xf>
    <xf numFmtId="49" fontId="12" fillId="0" borderId="2" xfId="0" applyNumberFormat="1" applyFont="1" applyBorder="1"/>
    <xf numFmtId="4" fontId="12" fillId="0" borderId="3" xfId="0" applyNumberFormat="1" applyFont="1" applyBorder="1"/>
    <xf numFmtId="0" fontId="21" fillId="0" borderId="0" xfId="1" applyFont="1" applyAlignment="1">
      <alignment horizontal="left" wrapText="1"/>
    </xf>
    <xf numFmtId="44" fontId="4" fillId="0" borderId="2" xfId="1" applyNumberFormat="1" applyFont="1" applyBorder="1" applyAlignment="1">
      <alignment horizontal="right" wrapText="1"/>
    </xf>
    <xf numFmtId="4" fontId="0" fillId="0" borderId="0" xfId="0" applyNumberFormat="1"/>
    <xf numFmtId="39" fontId="7" fillId="0" borderId="0" xfId="0" applyNumberFormat="1" applyFont="1"/>
    <xf numFmtId="39" fontId="17" fillId="0" borderId="0" xfId="0" applyNumberFormat="1" applyFont="1"/>
    <xf numFmtId="168" fontId="0" fillId="0" borderId="0" xfId="0" applyNumberFormat="1"/>
    <xf numFmtId="164" fontId="4" fillId="0" borderId="0" xfId="0" applyNumberFormat="1" applyFont="1" applyAlignment="1">
      <alignment horizontal="right"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2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wrapText="1"/>
    </xf>
    <xf numFmtId="0" fontId="22" fillId="0" borderId="0" xfId="0" applyFont="1"/>
    <xf numFmtId="164" fontId="5" fillId="0" borderId="1" xfId="0" applyNumberFormat="1" applyFont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164" fontId="4" fillId="0" borderId="2" xfId="1" applyNumberFormat="1" applyFont="1" applyBorder="1" applyAlignment="1">
      <alignment horizontal="right" wrapText="1"/>
    </xf>
    <xf numFmtId="164" fontId="4" fillId="0" borderId="0" xfId="1" applyNumberFormat="1" applyFont="1" applyAlignment="1">
      <alignment horizontal="right" wrapText="1"/>
    </xf>
    <xf numFmtId="164" fontId="4" fillId="0" borderId="3" xfId="1" applyNumberFormat="1" applyFont="1" applyBorder="1" applyAlignment="1">
      <alignment horizontal="right" wrapText="1"/>
    </xf>
    <xf numFmtId="0" fontId="8" fillId="0" borderId="0" xfId="0" applyFont="1"/>
    <xf numFmtId="164" fontId="5" fillId="0" borderId="2" xfId="0" applyNumberFormat="1" applyFont="1" applyBorder="1" applyAlignment="1">
      <alignment horizontal="right" wrapText="1"/>
    </xf>
    <xf numFmtId="169" fontId="4" fillId="0" borderId="2" xfId="0" applyNumberFormat="1" applyFont="1" applyBorder="1" applyAlignment="1">
      <alignment horizontal="right" wrapText="1"/>
    </xf>
    <xf numFmtId="17" fontId="3" fillId="0" borderId="1" xfId="0" applyNumberFormat="1" applyFont="1" applyBorder="1" applyAlignment="1">
      <alignment horizontal="center" wrapText="1"/>
    </xf>
    <xf numFmtId="2" fontId="10" fillId="0" borderId="0" xfId="0" applyNumberFormat="1" applyFont="1" applyAlignment="1">
      <alignment wrapText="1"/>
    </xf>
    <xf numFmtId="0" fontId="0" fillId="0" borderId="0" xfId="0"/>
    <xf numFmtId="0" fontId="14" fillId="0" borderId="0" xfId="0" applyFont="1"/>
    <xf numFmtId="165" fontId="4" fillId="0" borderId="0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/>
    </xf>
    <xf numFmtId="0" fontId="0" fillId="0" borderId="0" xfId="0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1" applyFont="1" applyAlignment="1">
      <alignment horizontal="center"/>
    </xf>
    <xf numFmtId="0" fontId="6" fillId="0" borderId="0" xfId="1"/>
    <xf numFmtId="0" fontId="13" fillId="0" borderId="0" xfId="0" applyFont="1" applyAlignment="1">
      <alignment horizontal="center"/>
    </xf>
    <xf numFmtId="0" fontId="14" fillId="0" borderId="0" xfId="0" applyFo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4"/>
  <sheetViews>
    <sheetView workbookViewId="0">
      <selection activeCell="G12" sqref="G12"/>
    </sheetView>
  </sheetViews>
  <sheetFormatPr defaultRowHeight="15" x14ac:dyDescent="0.25"/>
  <cols>
    <col min="1" max="1" width="26.5703125" customWidth="1"/>
    <col min="2" max="2" width="8.5703125" customWidth="1"/>
    <col min="3" max="3" width="10.28515625" customWidth="1"/>
    <col min="4" max="4" width="9.28515625" bestFit="1" customWidth="1"/>
    <col min="5" max="5" width="8.5703125" customWidth="1"/>
    <col min="6" max="6" width="10.28515625" customWidth="1"/>
    <col min="7" max="9" width="8.5703125" customWidth="1"/>
    <col min="10" max="10" width="9.42578125" customWidth="1"/>
    <col min="11" max="13" width="8.5703125" customWidth="1"/>
    <col min="14" max="14" width="10.28515625" customWidth="1"/>
  </cols>
  <sheetData>
    <row r="1" spans="1:14" ht="18" x14ac:dyDescent="0.25">
      <c r="A1" s="114" t="s">
        <v>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</row>
    <row r="2" spans="1:14" ht="18" x14ac:dyDescent="0.25">
      <c r="A2" s="114" t="s">
        <v>1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</row>
    <row r="3" spans="1:14" x14ac:dyDescent="0.25">
      <c r="A3" s="116" t="s">
        <v>78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</row>
    <row r="5" spans="1:14" x14ac:dyDescent="0.25">
      <c r="A5" s="1"/>
      <c r="B5" s="109">
        <v>43466</v>
      </c>
      <c r="C5" s="109">
        <v>43514</v>
      </c>
      <c r="D5" s="109">
        <v>43542</v>
      </c>
      <c r="E5" s="109">
        <v>43573</v>
      </c>
      <c r="F5" s="109">
        <v>43603</v>
      </c>
      <c r="G5" s="109">
        <v>43634</v>
      </c>
      <c r="H5" s="109">
        <v>43664</v>
      </c>
      <c r="I5" s="109">
        <v>43695</v>
      </c>
      <c r="J5" s="109">
        <v>43726</v>
      </c>
      <c r="K5" s="109">
        <v>43756</v>
      </c>
      <c r="L5" s="109">
        <v>43787</v>
      </c>
      <c r="M5" s="109">
        <v>43817</v>
      </c>
      <c r="N5" s="2" t="s">
        <v>2</v>
      </c>
    </row>
    <row r="6" spans="1:14" x14ac:dyDescent="0.25">
      <c r="A6" s="3" t="s">
        <v>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25">
      <c r="A7" s="3" t="s">
        <v>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11"/>
    </row>
    <row r="8" spans="1:14" x14ac:dyDescent="0.25">
      <c r="A8" s="3" t="s">
        <v>5</v>
      </c>
      <c r="B8" s="5">
        <f t="shared" ref="B8:I8" si="0">(B7)-(0)</f>
        <v>0</v>
      </c>
      <c r="C8" s="5">
        <f t="shared" si="0"/>
        <v>0</v>
      </c>
      <c r="D8" s="5">
        <f t="shared" si="0"/>
        <v>0</v>
      </c>
      <c r="E8" s="5">
        <f t="shared" si="0"/>
        <v>0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v>0</v>
      </c>
      <c r="K8" s="5">
        <v>0</v>
      </c>
      <c r="L8" s="5">
        <v>0</v>
      </c>
      <c r="M8" s="5">
        <v>0</v>
      </c>
      <c r="N8" s="5">
        <f>SUM(B8:M8)</f>
        <v>0</v>
      </c>
    </row>
    <row r="9" spans="1:14" x14ac:dyDescent="0.25">
      <c r="A9" s="3" t="s">
        <v>6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x14ac:dyDescent="0.25">
      <c r="A10" s="3" t="s">
        <v>7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6"/>
    </row>
    <row r="11" spans="1:14" x14ac:dyDescent="0.25">
      <c r="A11" s="3" t="s">
        <v>8</v>
      </c>
      <c r="B11" s="6">
        <v>123.02</v>
      </c>
      <c r="C11" s="6">
        <v>97.34</v>
      </c>
      <c r="D11" s="6">
        <v>107.77</v>
      </c>
      <c r="E11" s="6">
        <v>104.3</v>
      </c>
      <c r="F11" s="6">
        <v>104.29</v>
      </c>
      <c r="G11" s="6">
        <v>107.77</v>
      </c>
      <c r="H11" s="6"/>
      <c r="I11" s="6"/>
      <c r="J11" s="79"/>
      <c r="K11" s="79"/>
      <c r="L11" s="79"/>
      <c r="M11" s="79"/>
      <c r="N11" s="6">
        <f>SUM(B11:M11)</f>
        <v>644.49</v>
      </c>
    </row>
    <row r="12" spans="1:14" x14ac:dyDescent="0.25">
      <c r="A12" s="3" t="s">
        <v>9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6"/>
    </row>
    <row r="13" spans="1:14" x14ac:dyDescent="0.25">
      <c r="A13" s="3" t="s">
        <v>10</v>
      </c>
      <c r="B13" s="4"/>
      <c r="C13" s="6">
        <v>360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6">
        <f>SUM(B13:M13)</f>
        <v>360</v>
      </c>
    </row>
    <row r="14" spans="1:14" x14ac:dyDescent="0.25">
      <c r="A14" s="3" t="s">
        <v>11</v>
      </c>
      <c r="B14" s="4"/>
      <c r="C14" s="6"/>
      <c r="D14" s="4">
        <v>1500</v>
      </c>
      <c r="E14" s="4"/>
      <c r="F14" s="4"/>
      <c r="G14" s="4"/>
      <c r="H14" s="4"/>
      <c r="I14" s="4"/>
      <c r="J14" s="4"/>
      <c r="K14" s="4"/>
      <c r="L14" s="4"/>
      <c r="M14" s="4"/>
      <c r="N14" s="6">
        <f>SUM(C14:M14)</f>
        <v>1500</v>
      </c>
    </row>
    <row r="15" spans="1:14" x14ac:dyDescent="0.25">
      <c r="A15" s="3" t="s">
        <v>12</v>
      </c>
      <c r="B15" s="5">
        <f t="shared" ref="B15:K15" si="1">((B12)+(B13))+(B14)</f>
        <v>0</v>
      </c>
      <c r="C15" s="5">
        <f t="shared" si="1"/>
        <v>360</v>
      </c>
      <c r="D15" s="5">
        <f t="shared" si="1"/>
        <v>1500</v>
      </c>
      <c r="E15" s="5">
        <f t="shared" si="1"/>
        <v>0</v>
      </c>
      <c r="F15" s="5">
        <f t="shared" si="1"/>
        <v>0</v>
      </c>
      <c r="G15" s="5">
        <f t="shared" si="1"/>
        <v>0</v>
      </c>
      <c r="H15" s="5">
        <f t="shared" si="1"/>
        <v>0</v>
      </c>
      <c r="I15" s="5">
        <f t="shared" si="1"/>
        <v>0</v>
      </c>
      <c r="J15" s="5">
        <f t="shared" si="1"/>
        <v>0</v>
      </c>
      <c r="K15" s="5">
        <f t="shared" si="1"/>
        <v>0</v>
      </c>
      <c r="L15" s="5">
        <f t="shared" ref="L15:M15" si="2">((L12)+(L13))+(L14)</f>
        <v>0</v>
      </c>
      <c r="M15" s="5">
        <f t="shared" si="2"/>
        <v>0</v>
      </c>
      <c r="N15" s="5">
        <f>SUM(B15:M15)</f>
        <v>1860</v>
      </c>
    </row>
    <row r="16" spans="1:14" x14ac:dyDescent="0.25">
      <c r="A16" s="3" t="s">
        <v>13</v>
      </c>
      <c r="B16" s="4"/>
      <c r="C16" s="6"/>
      <c r="D16" s="4"/>
      <c r="E16" s="4"/>
      <c r="F16" s="4">
        <v>36.56</v>
      </c>
      <c r="G16" s="4"/>
      <c r="H16" s="4"/>
      <c r="I16" s="6"/>
      <c r="J16" s="6"/>
      <c r="K16" s="6"/>
      <c r="L16" s="6"/>
      <c r="M16" s="6"/>
      <c r="N16" s="6">
        <f>SUM(B16:M16)</f>
        <v>36.56</v>
      </c>
    </row>
    <row r="17" spans="1:14" x14ac:dyDescent="0.25">
      <c r="A17" s="3" t="s">
        <v>74</v>
      </c>
      <c r="B17" s="4"/>
      <c r="C17" s="6"/>
      <c r="D17" s="4"/>
      <c r="E17" s="4"/>
      <c r="F17" s="4"/>
      <c r="G17" s="4"/>
      <c r="H17" s="4"/>
      <c r="I17" s="6"/>
      <c r="J17" s="6"/>
      <c r="K17" s="6"/>
      <c r="L17" s="6"/>
      <c r="M17" s="6"/>
      <c r="N17" s="6"/>
    </row>
    <row r="18" spans="1:14" x14ac:dyDescent="0.25">
      <c r="A18" s="3" t="s">
        <v>14</v>
      </c>
      <c r="B18" s="5">
        <f>(((((B10))+(B11))+(B15))+(B16)+B17)</f>
        <v>123.02</v>
      </c>
      <c r="C18" s="5">
        <f t="shared" ref="C18:M18" si="3">(((((C10))+(C11))+(C15))+(C16)+C17)</f>
        <v>457.34000000000003</v>
      </c>
      <c r="D18" s="5">
        <f t="shared" si="3"/>
        <v>1607.77</v>
      </c>
      <c r="E18" s="5">
        <f t="shared" si="3"/>
        <v>104.3</v>
      </c>
      <c r="F18" s="5">
        <f t="shared" si="3"/>
        <v>140.85000000000002</v>
      </c>
      <c r="G18" s="5">
        <f t="shared" si="3"/>
        <v>107.77</v>
      </c>
      <c r="H18" s="5">
        <f t="shared" si="3"/>
        <v>0</v>
      </c>
      <c r="I18" s="5">
        <f t="shared" si="3"/>
        <v>0</v>
      </c>
      <c r="J18" s="5">
        <f t="shared" si="3"/>
        <v>0</v>
      </c>
      <c r="K18" s="5">
        <f t="shared" si="3"/>
        <v>0</v>
      </c>
      <c r="L18" s="5">
        <f t="shared" si="3"/>
        <v>0</v>
      </c>
      <c r="M18" s="5">
        <f t="shared" si="3"/>
        <v>0</v>
      </c>
      <c r="N18" s="5">
        <f>SUM(B18:M18)</f>
        <v>2541.0500000000002</v>
      </c>
    </row>
    <row r="19" spans="1:14" x14ac:dyDescent="0.25">
      <c r="A19" s="3" t="s">
        <v>15</v>
      </c>
      <c r="B19" s="5">
        <f t="shared" ref="B19:G19" si="4">B18</f>
        <v>123.02</v>
      </c>
      <c r="C19" s="5">
        <f t="shared" si="4"/>
        <v>457.34000000000003</v>
      </c>
      <c r="D19" s="5">
        <f t="shared" si="4"/>
        <v>1607.77</v>
      </c>
      <c r="E19" s="5">
        <f t="shared" si="4"/>
        <v>104.3</v>
      </c>
      <c r="F19" s="5">
        <f t="shared" si="4"/>
        <v>140.85000000000002</v>
      </c>
      <c r="G19" s="5">
        <f t="shared" si="4"/>
        <v>107.77</v>
      </c>
      <c r="H19" s="5">
        <f t="shared" ref="H19:K19" si="5">H18</f>
        <v>0</v>
      </c>
      <c r="I19" s="5">
        <f t="shared" si="5"/>
        <v>0</v>
      </c>
      <c r="J19" s="5">
        <f t="shared" si="5"/>
        <v>0</v>
      </c>
      <c r="K19" s="5">
        <f t="shared" si="5"/>
        <v>0</v>
      </c>
      <c r="L19" s="5">
        <f t="shared" ref="L19:M19" si="6">L18</f>
        <v>0</v>
      </c>
      <c r="M19" s="5">
        <f t="shared" si="6"/>
        <v>0</v>
      </c>
      <c r="N19" s="5">
        <f>SUM(B19:M19)</f>
        <v>2541.0500000000002</v>
      </c>
    </row>
    <row r="20" spans="1:14" x14ac:dyDescent="0.25">
      <c r="A20" s="3" t="s">
        <v>16</v>
      </c>
      <c r="B20" s="5">
        <f t="shared" ref="B20:G20" si="7">(((B8)-(B19))+(0))-(0)</f>
        <v>-123.02</v>
      </c>
      <c r="C20" s="5">
        <f t="shared" si="7"/>
        <v>-457.34000000000003</v>
      </c>
      <c r="D20" s="5">
        <f t="shared" si="7"/>
        <v>-1607.77</v>
      </c>
      <c r="E20" s="5">
        <f t="shared" si="7"/>
        <v>-104.3</v>
      </c>
      <c r="F20" s="5">
        <f t="shared" si="7"/>
        <v>-140.85000000000002</v>
      </c>
      <c r="G20" s="5">
        <f t="shared" si="7"/>
        <v>-107.77</v>
      </c>
      <c r="H20" s="5">
        <f t="shared" ref="H20:K20" si="8">(((H8)-(H19))+(0))-(0)</f>
        <v>0</v>
      </c>
      <c r="I20" s="5">
        <f t="shared" si="8"/>
        <v>0</v>
      </c>
      <c r="J20" s="5">
        <f t="shared" si="8"/>
        <v>0</v>
      </c>
      <c r="K20" s="5">
        <f t="shared" si="8"/>
        <v>0</v>
      </c>
      <c r="L20" s="5">
        <f t="shared" ref="L20:M20" si="9">(((L8)-(L19))+(0))-(0)</f>
        <v>0</v>
      </c>
      <c r="M20" s="5">
        <f t="shared" si="9"/>
        <v>0</v>
      </c>
      <c r="N20" s="5">
        <f>SUM(B20:M20)</f>
        <v>-2541.0500000000002</v>
      </c>
    </row>
    <row r="21" spans="1:14" x14ac:dyDescent="0.25">
      <c r="A21" s="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4" spans="1:14" x14ac:dyDescent="0.25">
      <c r="A24" s="117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</row>
  </sheetData>
  <mergeCells count="4">
    <mergeCell ref="A1:N1"/>
    <mergeCell ref="A2:N2"/>
    <mergeCell ref="A3:N3"/>
    <mergeCell ref="A24:N24"/>
  </mergeCells>
  <pageMargins left="0.25" right="0.25" top="0.75" bottom="0.75" header="0.3" footer="0.3"/>
  <pageSetup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P65"/>
  <sheetViews>
    <sheetView tabSelected="1" topLeftCell="A45" workbookViewId="0">
      <selection activeCell="K56" sqref="K56"/>
    </sheetView>
  </sheetViews>
  <sheetFormatPr defaultRowHeight="15" x14ac:dyDescent="0.25"/>
  <cols>
    <col min="1" max="1" width="30.140625" customWidth="1"/>
    <col min="2" max="2" width="7.5703125" customWidth="1"/>
    <col min="3" max="3" width="10.42578125" bestFit="1" customWidth="1"/>
    <col min="4" max="4" width="9.5703125" bestFit="1" customWidth="1"/>
    <col min="5" max="10" width="10.42578125" bestFit="1" customWidth="1"/>
    <col min="11" max="11" width="10.140625" bestFit="1" customWidth="1"/>
    <col min="12" max="12" width="9.42578125" customWidth="1"/>
    <col min="13" max="14" width="10.140625" bestFit="1" customWidth="1"/>
    <col min="15" max="15" width="13.140625" bestFit="1" customWidth="1"/>
    <col min="16" max="16" width="18.140625" bestFit="1" customWidth="1"/>
  </cols>
  <sheetData>
    <row r="1" spans="1:15" ht="18" x14ac:dyDescent="0.25">
      <c r="A1" s="114" t="s">
        <v>0</v>
      </c>
      <c r="B1" s="114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1:15" ht="18" x14ac:dyDescent="0.25">
      <c r="A2" s="114" t="s">
        <v>64</v>
      </c>
      <c r="B2" s="114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spans="1:15" x14ac:dyDescent="0.25">
      <c r="A3" s="116" t="str">
        <f>+'100 5-30-9-7 '!A3:N3</f>
        <v xml:space="preserve">January 2019 - </v>
      </c>
      <c r="B3" s="116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</row>
    <row r="5" spans="1:15" x14ac:dyDescent="0.25">
      <c r="A5" s="1"/>
      <c r="B5" s="1"/>
      <c r="C5" s="109">
        <v>43466</v>
      </c>
      <c r="D5" s="109">
        <v>43514</v>
      </c>
      <c r="E5" s="109">
        <v>43542</v>
      </c>
      <c r="F5" s="109">
        <v>43573</v>
      </c>
      <c r="G5" s="109">
        <v>43603</v>
      </c>
      <c r="H5" s="109">
        <v>43634</v>
      </c>
      <c r="I5" s="109">
        <v>43664</v>
      </c>
      <c r="J5" s="109">
        <v>43695</v>
      </c>
      <c r="K5" s="109">
        <v>43726</v>
      </c>
      <c r="L5" s="109">
        <v>43756</v>
      </c>
      <c r="M5" s="109">
        <v>43787</v>
      </c>
      <c r="N5" s="109">
        <v>43817</v>
      </c>
      <c r="O5" s="2" t="s">
        <v>2</v>
      </c>
    </row>
    <row r="6" spans="1:15" x14ac:dyDescent="0.25">
      <c r="A6" s="3" t="s">
        <v>3</v>
      </c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x14ac:dyDescent="0.25">
      <c r="A7" s="3" t="s">
        <v>21</v>
      </c>
      <c r="B7" s="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6"/>
    </row>
    <row r="8" spans="1:15" x14ac:dyDescent="0.25">
      <c r="A8" s="3" t="str">
        <f>+'FAC 7-36-9-8'!A8</f>
        <v xml:space="preserve">Water Disposal </v>
      </c>
      <c r="B8" s="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6"/>
    </row>
    <row r="9" spans="1:15" x14ac:dyDescent="0.25">
      <c r="A9" s="3" t="str">
        <f>+'FAC 7-36-9-8'!A9</f>
        <v xml:space="preserve">     Water Disposal </v>
      </c>
      <c r="B9" s="3"/>
      <c r="C9" s="4">
        <f>+'FAC 7-36-9-8'!B9</f>
        <v>88</v>
      </c>
      <c r="D9" s="4">
        <f>+'FAC 7-36-9-8'!C9</f>
        <v>0</v>
      </c>
      <c r="E9" s="4">
        <f>+'FAC 7-36-9-8'!D9</f>
        <v>161.69999999999999</v>
      </c>
      <c r="F9" s="4">
        <f>+'FAC 7-36-9-8'!E9</f>
        <v>0</v>
      </c>
      <c r="G9" s="4">
        <f>+'FAC 7-36-9-8'!F9</f>
        <v>924</v>
      </c>
      <c r="H9" s="4">
        <f>+'FAC 7-36-9-8'!G9</f>
        <v>924</v>
      </c>
      <c r="I9" s="4">
        <f>+'FAC 7-36-9-8'!H9</f>
        <v>0</v>
      </c>
      <c r="J9" s="4">
        <f>+'FAC 7-36-9-8'!I9</f>
        <v>0</v>
      </c>
      <c r="K9" s="4">
        <f>+'FAC 7-36-9-8'!J9</f>
        <v>0</v>
      </c>
      <c r="L9" s="4">
        <f>+'FAC 7-36-9-8'!K9</f>
        <v>0</v>
      </c>
      <c r="M9" s="4">
        <f>+'FAC 7-36-9-8'!L9</f>
        <v>0</v>
      </c>
      <c r="N9" s="4">
        <f>+'FAC 7-36-9-8'!M9</f>
        <v>0</v>
      </c>
      <c r="O9" s="6">
        <f>SUM(C9:N9)</f>
        <v>2097.6999999999998</v>
      </c>
    </row>
    <row r="10" spans="1:15" x14ac:dyDescent="0.25">
      <c r="A10" s="3" t="s">
        <v>65</v>
      </c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6"/>
    </row>
    <row r="11" spans="1:15" x14ac:dyDescent="0.25">
      <c r="A11" s="3" t="s">
        <v>23</v>
      </c>
      <c r="B11" s="3"/>
      <c r="C11" s="6">
        <f>+'102 8-35-9-8'!C9+'102 8-36-9-8'!C9+'SAT 10-36-9-8'!C9+'SAT 15-36-9-8'!C9+'FAC 1-25-9-8'!C9+'SAT 9-36-9-8'!C9</f>
        <v>83841.42</v>
      </c>
      <c r="D11" s="6">
        <f>+'102 8-35-9-8'!D9+'102 8-36-9-8'!D9+'SAT 10-36-9-8'!D9+'SAT 15-36-9-8'!D9+'FAC 1-25-9-8'!D9+'SAT 9-36-9-8'!D9</f>
        <v>65726.47</v>
      </c>
      <c r="E11" s="6">
        <f>+'102 8-35-9-8'!E9+'102 8-36-9-8'!E9+'SAT 10-36-9-8'!E9+'SAT 15-36-9-8'!E9+'FAC 1-25-9-8'!E9+'SAT 9-36-9-8'!E9</f>
        <v>73080.959999999992</v>
      </c>
      <c r="F11" s="6">
        <f>+'102 8-35-9-8'!F9+'102 8-36-9-8'!F9+'SAT 10-36-9-8'!F9+'SAT 15-36-9-8'!F9+'FAC 1-25-9-8'!F9+'SAT 9-36-9-8'!F9</f>
        <v>97741.550000000017</v>
      </c>
      <c r="G11" s="6">
        <f>+'102 8-35-9-8'!G9+'102 8-36-9-8'!G9+'SAT 10-36-9-8'!G9+'SAT 15-36-9-8'!G9+'FAC 1-25-9-8'!G9+'SAT 9-36-9-8'!G9</f>
        <v>97662.34</v>
      </c>
      <c r="H11" s="6">
        <f>+'102 8-35-9-8'!H9+'102 8-36-9-8'!H9+'SAT 10-36-9-8'!H9+'SAT 15-36-9-8'!H9+'FAC 1-25-9-8'!H9+'SAT 9-36-9-8'!H9</f>
        <v>51324.55</v>
      </c>
      <c r="I11" s="6">
        <f>+'102 8-35-9-8'!I9+'102 8-36-9-8'!I9+'SAT 10-36-9-8'!I9+'SAT 15-36-9-8'!I9+'FAC 1-25-9-8'!I9+'SAT 9-36-9-8'!I9</f>
        <v>0</v>
      </c>
      <c r="J11" s="6">
        <f>+'102 8-35-9-8'!J9+'102 8-36-9-8'!J9+'SAT 10-36-9-8'!J9+'SAT 15-36-9-8'!J9+'FAC 1-25-9-8'!J9+'SAT 9-36-9-8'!J9</f>
        <v>0</v>
      </c>
      <c r="K11" s="6">
        <f>+'102 8-35-9-8'!K9+'102 8-36-9-8'!K9+'SAT 10-36-9-8'!K9+'SAT 15-36-9-8'!K9+'FAC 1-25-9-8'!K9+'SAT 9-36-9-8'!K9</f>
        <v>0</v>
      </c>
      <c r="L11" s="6">
        <f>+'102 8-35-9-8'!L9+'102 8-36-9-8'!L9+'SAT 10-36-9-8'!L9+'SAT 15-36-9-8'!L9+'FAC 1-25-9-8'!L9+'SAT 9-36-9-8'!L9</f>
        <v>0</v>
      </c>
      <c r="M11" s="6">
        <f>+'102 8-35-9-8'!M9+'102 8-36-9-8'!M9+'SAT 10-36-9-8'!M9+'SAT 15-36-9-8'!M9+'FAC 1-25-9-8'!M9+'SAT 9-36-9-8'!M9</f>
        <v>0</v>
      </c>
      <c r="N11" s="6">
        <f>+'102 8-35-9-8'!N9+'102 8-36-9-8'!N9+'SAT 10-36-9-8'!N9+'SAT 15-36-9-8'!N9+'FAC 1-25-9-8'!N9+'SAT 9-36-9-8'!N9</f>
        <v>0</v>
      </c>
      <c r="O11" s="6">
        <f>SUM(C11:N11)</f>
        <v>469377.29</v>
      </c>
    </row>
    <row r="12" spans="1:15" x14ac:dyDescent="0.25">
      <c r="A12" s="3" t="s">
        <v>24</v>
      </c>
      <c r="B12" s="3"/>
      <c r="C12" s="5">
        <f t="shared" ref="C12:L12" si="0">(C10)+(C11)</f>
        <v>83841.42</v>
      </c>
      <c r="D12" s="5">
        <f t="shared" si="0"/>
        <v>65726.47</v>
      </c>
      <c r="E12" s="5">
        <f t="shared" si="0"/>
        <v>73080.959999999992</v>
      </c>
      <c r="F12" s="5">
        <f t="shared" si="0"/>
        <v>97741.550000000017</v>
      </c>
      <c r="G12" s="5">
        <f t="shared" si="0"/>
        <v>97662.34</v>
      </c>
      <c r="H12" s="5">
        <f t="shared" si="0"/>
        <v>51324.55</v>
      </c>
      <c r="I12" s="5">
        <f t="shared" si="0"/>
        <v>0</v>
      </c>
      <c r="J12" s="5">
        <f t="shared" si="0"/>
        <v>0</v>
      </c>
      <c r="K12" s="5">
        <f t="shared" si="0"/>
        <v>0</v>
      </c>
      <c r="L12" s="5">
        <f t="shared" si="0"/>
        <v>0</v>
      </c>
      <c r="M12" s="5">
        <f t="shared" ref="M12:N12" si="1">(M10)+(M11)</f>
        <v>0</v>
      </c>
      <c r="N12" s="5">
        <f t="shared" si="1"/>
        <v>0</v>
      </c>
      <c r="O12" s="96">
        <f t="shared" ref="O12:O13" si="2">SUM(C12:N12)</f>
        <v>469377.29</v>
      </c>
    </row>
    <row r="13" spans="1:15" x14ac:dyDescent="0.25">
      <c r="A13" s="3" t="s">
        <v>25</v>
      </c>
      <c r="B13" s="3"/>
      <c r="C13" s="5">
        <f>(C9)+(C12)</f>
        <v>83929.42</v>
      </c>
      <c r="D13" s="5">
        <f t="shared" ref="D13:L13" si="3">(D9)+(D12)</f>
        <v>65726.47</v>
      </c>
      <c r="E13" s="5">
        <f t="shared" si="3"/>
        <v>73242.659999999989</v>
      </c>
      <c r="F13" s="5">
        <f t="shared" si="3"/>
        <v>97741.550000000017</v>
      </c>
      <c r="G13" s="5">
        <f t="shared" si="3"/>
        <v>98586.34</v>
      </c>
      <c r="H13" s="5">
        <f t="shared" si="3"/>
        <v>52248.55</v>
      </c>
      <c r="I13" s="5">
        <f t="shared" si="3"/>
        <v>0</v>
      </c>
      <c r="J13" s="5">
        <f t="shared" si="3"/>
        <v>0</v>
      </c>
      <c r="K13" s="5">
        <f t="shared" si="3"/>
        <v>0</v>
      </c>
      <c r="L13" s="5">
        <f t="shared" si="3"/>
        <v>0</v>
      </c>
      <c r="M13" s="5">
        <f t="shared" ref="M13:N13" si="4">(M9)+(M12)</f>
        <v>0</v>
      </c>
      <c r="N13" s="5">
        <f t="shared" si="4"/>
        <v>0</v>
      </c>
      <c r="O13" s="97">
        <f t="shared" si="2"/>
        <v>471474.98999999993</v>
      </c>
    </row>
    <row r="14" spans="1:15" x14ac:dyDescent="0.25">
      <c r="A14" s="3" t="s">
        <v>26</v>
      </c>
      <c r="B14" s="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6"/>
    </row>
    <row r="15" spans="1:15" x14ac:dyDescent="0.25">
      <c r="A15" s="3" t="s">
        <v>69</v>
      </c>
      <c r="B15" s="3"/>
      <c r="C15" s="6">
        <f>+'102 8-35-9-8'!C13</f>
        <v>-171.6</v>
      </c>
      <c r="D15" s="6">
        <f>+'102 8-35-9-8'!D13</f>
        <v>-182.03</v>
      </c>
      <c r="E15" s="6">
        <f>+'102 8-35-9-8'!E13</f>
        <v>-290.45999999999998</v>
      </c>
      <c r="F15" s="6">
        <f>+'102 8-35-9-8'!F13</f>
        <v>-253.3</v>
      </c>
      <c r="G15" s="6">
        <f>+'102 8-35-9-8'!G13</f>
        <v>-216.24</v>
      </c>
      <c r="H15" s="6">
        <f>+'102 8-35-9-8'!H13</f>
        <v>0</v>
      </c>
      <c r="I15" s="6">
        <f>+'102 8-35-9-8'!I13</f>
        <v>0</v>
      </c>
      <c r="J15" s="6">
        <f>+'102 8-35-9-8'!J13</f>
        <v>0</v>
      </c>
      <c r="K15" s="6">
        <f>+'102 8-35-9-8'!K13</f>
        <v>0</v>
      </c>
      <c r="L15" s="6">
        <f>+'102 8-35-9-8'!L13</f>
        <v>0</v>
      </c>
      <c r="M15" s="6">
        <f>+'102 8-35-9-8'!M13</f>
        <v>0</v>
      </c>
      <c r="N15" s="6">
        <f>+'102 8-35-9-8'!N13</f>
        <v>0</v>
      </c>
      <c r="O15" s="6">
        <f>SUM(C15:N15)</f>
        <v>-1113.6299999999999</v>
      </c>
    </row>
    <row r="16" spans="1:15" x14ac:dyDescent="0.25">
      <c r="A16" s="3" t="s">
        <v>27</v>
      </c>
      <c r="B16" s="3"/>
      <c r="C16" s="5">
        <f>((C14)+(C15))</f>
        <v>-171.6</v>
      </c>
      <c r="D16" s="5">
        <f t="shared" ref="D16:L16" si="5">((D14)+(D15))</f>
        <v>-182.03</v>
      </c>
      <c r="E16" s="5">
        <f t="shared" si="5"/>
        <v>-290.45999999999998</v>
      </c>
      <c r="F16" s="5">
        <f t="shared" si="5"/>
        <v>-253.3</v>
      </c>
      <c r="G16" s="5">
        <f t="shared" si="5"/>
        <v>-216.24</v>
      </c>
      <c r="H16" s="5">
        <f t="shared" si="5"/>
        <v>0</v>
      </c>
      <c r="I16" s="5">
        <f t="shared" si="5"/>
        <v>0</v>
      </c>
      <c r="J16" s="5">
        <f t="shared" si="5"/>
        <v>0</v>
      </c>
      <c r="K16" s="5">
        <f t="shared" si="5"/>
        <v>0</v>
      </c>
      <c r="L16" s="5">
        <f t="shared" si="5"/>
        <v>0</v>
      </c>
      <c r="M16" s="5">
        <f t="shared" ref="M16:N16" si="6">((M14)+(M15))</f>
        <v>0</v>
      </c>
      <c r="N16" s="5">
        <f t="shared" si="6"/>
        <v>0</v>
      </c>
      <c r="O16" s="80">
        <f>SUM(C16:N16)</f>
        <v>-1113.6299999999999</v>
      </c>
    </row>
    <row r="17" spans="1:15" x14ac:dyDescent="0.25">
      <c r="A17" s="3" t="s">
        <v>4</v>
      </c>
      <c r="B17" s="3"/>
      <c r="C17" s="5">
        <f t="shared" ref="C17:L17" si="7">(C13)+(C16)</f>
        <v>83757.819999999992</v>
      </c>
      <c r="D17" s="5">
        <f t="shared" si="7"/>
        <v>65544.44</v>
      </c>
      <c r="E17" s="5">
        <f t="shared" si="7"/>
        <v>72952.199999999983</v>
      </c>
      <c r="F17" s="5">
        <f t="shared" si="7"/>
        <v>97488.250000000015</v>
      </c>
      <c r="G17" s="5">
        <f t="shared" si="7"/>
        <v>98370.099999999991</v>
      </c>
      <c r="H17" s="5">
        <f t="shared" si="7"/>
        <v>52248.55</v>
      </c>
      <c r="I17" s="5">
        <f t="shared" si="7"/>
        <v>0</v>
      </c>
      <c r="J17" s="5">
        <f t="shared" si="7"/>
        <v>0</v>
      </c>
      <c r="K17" s="5">
        <f t="shared" si="7"/>
        <v>0</v>
      </c>
      <c r="L17" s="5">
        <f t="shared" si="7"/>
        <v>0</v>
      </c>
      <c r="M17" s="5">
        <f t="shared" ref="M17:N17" si="8">(M13)+(M16)</f>
        <v>0</v>
      </c>
      <c r="N17" s="5">
        <f t="shared" si="8"/>
        <v>0</v>
      </c>
      <c r="O17" s="80">
        <f t="shared" ref="O17:O18" si="9">SUM(C17:N17)</f>
        <v>470361.36</v>
      </c>
    </row>
    <row r="18" spans="1:15" x14ac:dyDescent="0.25">
      <c r="A18" s="3" t="s">
        <v>5</v>
      </c>
      <c r="B18" s="3"/>
      <c r="C18" s="5">
        <f t="shared" ref="C18:L18" si="10">(C17)-(0)</f>
        <v>83757.819999999992</v>
      </c>
      <c r="D18" s="5">
        <f t="shared" si="10"/>
        <v>65544.44</v>
      </c>
      <c r="E18" s="5">
        <f t="shared" si="10"/>
        <v>72952.199999999983</v>
      </c>
      <c r="F18" s="5">
        <f t="shared" si="10"/>
        <v>97488.250000000015</v>
      </c>
      <c r="G18" s="5">
        <f t="shared" si="10"/>
        <v>98370.099999999991</v>
      </c>
      <c r="H18" s="5">
        <f t="shared" si="10"/>
        <v>52248.55</v>
      </c>
      <c r="I18" s="5">
        <f t="shared" si="10"/>
        <v>0</v>
      </c>
      <c r="J18" s="5">
        <f t="shared" si="10"/>
        <v>0</v>
      </c>
      <c r="K18" s="5">
        <f t="shared" si="10"/>
        <v>0</v>
      </c>
      <c r="L18" s="5">
        <f t="shared" si="10"/>
        <v>0</v>
      </c>
      <c r="M18" s="5">
        <f t="shared" ref="M18:N18" si="11">(M17)-(0)</f>
        <v>0</v>
      </c>
      <c r="N18" s="5">
        <f t="shared" si="11"/>
        <v>0</v>
      </c>
      <c r="O18" s="81">
        <f t="shared" si="9"/>
        <v>470361.36</v>
      </c>
    </row>
    <row r="19" spans="1:15" x14ac:dyDescent="0.25">
      <c r="A19" s="3" t="s">
        <v>6</v>
      </c>
      <c r="B19" s="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15" x14ac:dyDescent="0.25">
      <c r="A20" s="3" t="s">
        <v>7</v>
      </c>
      <c r="B20" s="3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6"/>
    </row>
    <row r="21" spans="1:15" x14ac:dyDescent="0.25">
      <c r="A21" s="3" t="s">
        <v>28</v>
      </c>
      <c r="B21" s="3"/>
      <c r="C21" s="6">
        <f>+'FAC 7-36-9-8'!B16+'102 8-35-9-8'!C19+'102 8-36-9-8'!C19+'SAT 10-36-9-8'!C19+'SAT 15-36-9-8'!C19+'FAC 1-25-9-8'!C19+'SAT 9-36-9-8'!C19</f>
        <v>2803.23</v>
      </c>
      <c r="D21" s="6">
        <f>+'FAC 7-36-9-8'!C16+'102 8-35-9-8'!D19+'102 8-36-9-8'!D19+'SAT 10-36-9-8'!D19+'SAT 15-36-9-8'!D19+'FAC 1-25-9-8'!D19+'SAT 9-36-9-8'!D19</f>
        <v>4171.71</v>
      </c>
      <c r="E21" s="6">
        <f>+'FAC 7-36-9-8'!D16+'102 8-35-9-8'!E19+'102 8-36-9-8'!E19+'SAT 10-36-9-8'!E19+'SAT 15-36-9-8'!E19+'FAC 1-25-9-8'!E19+'SAT 9-36-9-8'!E19</f>
        <v>927.24300000000005</v>
      </c>
      <c r="F21" s="6">
        <f>+'FAC 7-36-9-8'!E16+'102 8-35-9-8'!F19+'102 8-36-9-8'!F19+'SAT 10-36-9-8'!F19+'SAT 15-36-9-8'!F19+'FAC 1-25-9-8'!F19+'SAT 9-36-9-8'!F19</f>
        <v>4317.1099999999997</v>
      </c>
      <c r="G21" s="6">
        <f>+'FAC 7-36-9-8'!F16+'102 8-35-9-8'!G19+'102 8-36-9-8'!G19+'SAT 10-36-9-8'!G19+'SAT 15-36-9-8'!G19+'FAC 1-25-9-8'!G19+'SAT 9-36-9-8'!G19</f>
        <v>1912.16</v>
      </c>
      <c r="H21" s="6">
        <f>+'FAC 7-36-9-8'!G16+'102 8-35-9-8'!H19+'102 8-36-9-8'!H19+'SAT 10-36-9-8'!H19+'SAT 15-36-9-8'!H19+'FAC 1-25-9-8'!H19+'SAT 9-36-9-8'!H19</f>
        <v>4601.49</v>
      </c>
      <c r="I21" s="6">
        <f>+'FAC 7-36-9-8'!H16+'102 8-35-9-8'!I19+'102 8-36-9-8'!I19+'SAT 10-36-9-8'!I19+'SAT 15-36-9-8'!I19+'FAC 1-25-9-8'!I19+'SAT 9-36-9-8'!I19</f>
        <v>0</v>
      </c>
      <c r="J21" s="6">
        <f>+'FAC 7-36-9-8'!I16+'102 8-35-9-8'!J19+'102 8-36-9-8'!J19+'SAT 10-36-9-8'!J19+'SAT 15-36-9-8'!J19+'FAC 1-25-9-8'!J19+'SAT 9-36-9-8'!J19</f>
        <v>0</v>
      </c>
      <c r="K21" s="6">
        <f>+'FAC 7-36-9-8'!J16+'102 8-35-9-8'!K19+'102 8-36-9-8'!K19+'SAT 10-36-9-8'!K19+'SAT 15-36-9-8'!K19+'FAC 1-25-9-8'!K19+'SAT 9-36-9-8'!K19</f>
        <v>0</v>
      </c>
      <c r="L21" s="6">
        <f>+'FAC 7-36-9-8'!K16+'102 8-35-9-8'!L19+'102 8-36-9-8'!L19+'SAT 10-36-9-8'!L19+'SAT 15-36-9-8'!L19+'FAC 1-25-9-8'!L19+'SAT 9-36-9-8'!L19</f>
        <v>0</v>
      </c>
      <c r="M21" s="6">
        <f>+'FAC 7-36-9-8'!L16+'102 8-35-9-8'!M19+'102 8-36-9-8'!M19+'SAT 10-36-9-8'!M19+'SAT 15-36-9-8'!M19+'FAC 1-25-9-8'!M19+'SAT 9-36-9-8'!M19</f>
        <v>0</v>
      </c>
      <c r="N21" s="6">
        <f>+'FAC 7-36-9-8'!M16+'102 8-35-9-8'!N19+'102 8-36-9-8'!N19+'SAT 10-36-9-8'!N19+'SAT 15-36-9-8'!N19+'FAC 1-25-9-8'!N19+'SAT 9-36-9-8'!N19</f>
        <v>0</v>
      </c>
      <c r="O21" s="6">
        <f>SUM(C21:N21)</f>
        <v>18732.942999999999</v>
      </c>
    </row>
    <row r="22" spans="1:15" ht="15" customHeight="1" x14ac:dyDescent="0.25">
      <c r="A22" s="3" t="s">
        <v>17</v>
      </c>
      <c r="B22" s="3"/>
      <c r="C22" s="6">
        <f>+'100 10-36-9-8 Water Source'!B11+'FAC 7-36-9-8'!B17+'102 8-35-9-8'!C20+'102 8-36-9-8'!C20+'SAT 10-36-9-8'!C20+'SAT 15-36-9-8'!C20+'FAC 1-25-9-8'!C20+'SAT 9-36-9-8'!C20</f>
        <v>7436.7699999999995</v>
      </c>
      <c r="D22" s="6">
        <f>+'100 10-36-9-8 Water Source'!C11+'FAC 7-36-9-8'!C17+'102 8-35-9-8'!D20+'102 8-36-9-8'!D20+'SAT 10-36-9-8'!D20+'SAT 15-36-9-8'!D20+'FAC 1-25-9-8'!D20+'SAT 9-36-9-8'!D20</f>
        <v>5580.0000000000009</v>
      </c>
      <c r="E22" s="6">
        <f>+'100 10-36-9-8 Water Source'!D11+'FAC 7-36-9-8'!D17+'102 8-35-9-8'!E20+'102 8-36-9-8'!E20+'SAT 10-36-9-8'!E20+'SAT 15-36-9-8'!E20+'FAC 1-25-9-8'!E20+'SAT 9-36-9-8'!E20</f>
        <v>6434.9999999999982</v>
      </c>
      <c r="F22" s="6">
        <f>+'100 10-36-9-8 Water Source'!E11+'FAC 7-36-9-8'!E17+'102 8-35-9-8'!F20+'102 8-36-9-8'!F20+'SAT 10-36-9-8'!F20+'SAT 15-36-9-8'!F20+'FAC 1-25-9-8'!F20+'SAT 9-36-9-8'!F20</f>
        <v>6849.9999999999991</v>
      </c>
      <c r="G22" s="6">
        <f>+'100 10-36-9-8 Water Source'!F11+'FAC 7-36-9-8'!F17+'102 8-35-9-8'!G20+'102 8-36-9-8'!G20+'SAT 10-36-9-8'!G20+'SAT 15-36-9-8'!G20+'FAC 1-25-9-8'!G20+'SAT 9-36-9-8'!G20</f>
        <v>6117.38</v>
      </c>
      <c r="H22" s="6">
        <f>+'100 10-36-9-8 Water Source'!G11+'FAC 7-36-9-8'!G17+'102 8-35-9-8'!H20+'102 8-36-9-8'!H20+'SAT 10-36-9-8'!H20+'SAT 15-36-9-8'!H20+'FAC 1-25-9-8'!H20+'SAT 9-36-9-8'!H20</f>
        <v>12196.72</v>
      </c>
      <c r="I22" s="6">
        <f>+'100 10-36-9-8 Water Source'!H11+'FAC 7-36-9-8'!H17+'102 8-35-9-8'!I20+'102 8-36-9-8'!I20+'SAT 10-36-9-8'!I20+'SAT 15-36-9-8'!I20+'FAC 1-25-9-8'!I20+'SAT 9-36-9-8'!I20</f>
        <v>0</v>
      </c>
      <c r="J22" s="6">
        <f>+'100 10-36-9-8 Water Source'!I11+'FAC 7-36-9-8'!I17+'102 8-35-9-8'!J20+'102 8-36-9-8'!J20+'SAT 10-36-9-8'!J20+'SAT 15-36-9-8'!J20+'FAC 1-25-9-8'!J20+'SAT 9-36-9-8'!J20</f>
        <v>0</v>
      </c>
      <c r="K22" s="6">
        <f>+'100 10-36-9-8 Water Source'!J11+'FAC 7-36-9-8'!J17+'102 8-35-9-8'!K20+'102 8-36-9-8'!K20+'SAT 10-36-9-8'!K20+'SAT 15-36-9-8'!K20+'FAC 1-25-9-8'!K20+'SAT 9-36-9-8'!K20</f>
        <v>0</v>
      </c>
      <c r="L22" s="6">
        <f>+'100 10-36-9-8 Water Source'!K11+'FAC 7-36-9-8'!K17+'102 8-35-9-8'!L20+'102 8-36-9-8'!L20+'SAT 10-36-9-8'!L20+'SAT 15-36-9-8'!L20+'FAC 1-25-9-8'!L20+'SAT 9-36-9-8'!L20</f>
        <v>0</v>
      </c>
      <c r="M22" s="6">
        <f>+'100 10-36-9-8 Water Source'!L11+'FAC 7-36-9-8'!L17+'102 8-35-9-8'!M20+'102 8-36-9-8'!M20+'SAT 10-36-9-8'!M20+'SAT 15-36-9-8'!M20+'FAC 1-25-9-8'!M20+'SAT 9-36-9-8'!M20</f>
        <v>0</v>
      </c>
      <c r="N22" s="6">
        <f>+'100 10-36-9-8 Water Source'!M11+'FAC 7-36-9-8'!M17+'102 8-35-9-8'!N20+'102 8-36-9-8'!N20+'SAT 10-36-9-8'!N20+'SAT 15-36-9-8'!N20+'FAC 1-25-9-8'!N20+'SAT 9-36-9-8'!N20</f>
        <v>0</v>
      </c>
      <c r="O22" s="6">
        <f t="shared" ref="O22:O45" si="12">SUM(C22:N22)</f>
        <v>44615.869999999995</v>
      </c>
    </row>
    <row r="23" spans="1:15" ht="15" customHeight="1" x14ac:dyDescent="0.25">
      <c r="A23" s="3" t="s">
        <v>77</v>
      </c>
      <c r="B23" s="3"/>
      <c r="C23" s="6">
        <f>+'FAC 1-25-9-8'!C21</f>
        <v>0</v>
      </c>
      <c r="D23" s="6">
        <f>+'FAC 1-25-9-8'!D21</f>
        <v>0</v>
      </c>
      <c r="E23" s="6">
        <f>+'FAC 1-25-9-8'!E21</f>
        <v>0</v>
      </c>
      <c r="F23" s="6">
        <f>+'FAC 1-25-9-8'!F21</f>
        <v>0</v>
      </c>
      <c r="G23" s="6">
        <f>+'FAC 1-25-9-8'!G21</f>
        <v>0</v>
      </c>
      <c r="H23" s="6">
        <f>+'FAC 1-25-9-8'!H21</f>
        <v>0</v>
      </c>
      <c r="I23" s="6">
        <f>+'FAC 1-25-9-8'!I21</f>
        <v>0</v>
      </c>
      <c r="J23" s="6">
        <f>+'FAC 1-25-9-8'!J21</f>
        <v>0</v>
      </c>
      <c r="K23" s="6">
        <f>+'FAC 1-25-9-8'!K21</f>
        <v>0</v>
      </c>
      <c r="L23" s="6">
        <f>+'FAC 1-25-9-8'!L21</f>
        <v>0</v>
      </c>
      <c r="M23" s="6">
        <f>+'FAC 1-25-9-8'!M21</f>
        <v>0</v>
      </c>
      <c r="N23" s="6">
        <f>+'FAC 1-25-9-8'!N21</f>
        <v>0</v>
      </c>
      <c r="O23" s="6">
        <f t="shared" si="12"/>
        <v>0</v>
      </c>
    </row>
    <row r="24" spans="1:15" ht="15" customHeight="1" x14ac:dyDescent="0.25">
      <c r="A24" s="3" t="str">
        <f>+'FAC 7-36-9-8'!A18</f>
        <v xml:space="preserve">      Equipment Rental</v>
      </c>
      <c r="B24" s="3"/>
      <c r="C24" s="110">
        <f>+'FAC 7-36-9-8'!C18</f>
        <v>0</v>
      </c>
      <c r="D24" s="110">
        <f>+'FAC 7-36-9-8'!D18</f>
        <v>0</v>
      </c>
      <c r="E24" s="110">
        <f>+'FAC 7-36-9-8'!E18</f>
        <v>0</v>
      </c>
      <c r="F24" s="110">
        <f>+'FAC 7-36-9-8'!F18</f>
        <v>0</v>
      </c>
      <c r="G24" s="110">
        <f>+'FAC 7-36-9-8'!G18</f>
        <v>0</v>
      </c>
      <c r="H24" s="110">
        <f>+'FAC 7-36-9-8'!H18</f>
        <v>0</v>
      </c>
      <c r="I24" s="110">
        <f>+'FAC 7-36-9-8'!I18</f>
        <v>0</v>
      </c>
      <c r="J24" s="110">
        <f>+'FAC 7-36-9-8'!J18</f>
        <v>0</v>
      </c>
      <c r="K24" s="110">
        <f>+'FAC 7-36-9-8'!K18</f>
        <v>0</v>
      </c>
      <c r="L24" s="110">
        <f>+'FAC 7-36-9-8'!N18</f>
        <v>0</v>
      </c>
      <c r="M24" s="110">
        <f>+'FAC 7-36-9-8'!O18</f>
        <v>0</v>
      </c>
      <c r="N24" s="110">
        <f>+'FAC 7-36-9-8'!P18</f>
        <v>0</v>
      </c>
      <c r="O24" s="6">
        <f t="shared" si="12"/>
        <v>0</v>
      </c>
    </row>
    <row r="25" spans="1:15" x14ac:dyDescent="0.25">
      <c r="A25" s="3" t="s">
        <v>8</v>
      </c>
      <c r="B25" s="3"/>
      <c r="C25" s="6">
        <f>+'100 5-30-9-7 '!B11+'100 10-36-9-8 Water Source'!B12+'FAC 7-36-9-8'!B19+'102 8-35-9-8'!C21+'102 8-36-9-8'!C21+'SAT 10-36-9-8'!C21+'SAT 15-36-9-8'!C21+'FAC 1-25-9-8'!C22+'SAT 9-36-9-8'!C21-755.37</f>
        <v>10646.289999999997</v>
      </c>
      <c r="D25" s="6">
        <f>+'100 5-30-9-7 '!C11+'100 10-36-9-8 Water Source'!C12+'FAC 7-36-9-8'!C19+'102 8-35-9-8'!D21+'102 8-36-9-8'!D21+'SAT 10-36-9-8'!D21+'SAT 15-36-9-8'!D21+'FAC 1-25-9-8'!D22+'SAT 9-36-9-8'!D21</f>
        <v>17988</v>
      </c>
      <c r="E25" s="6">
        <f>+'100 5-30-9-7 '!D11+'100 10-36-9-8 Water Source'!D12+'FAC 7-36-9-8'!D19+'102 8-35-9-8'!E21+'102 8-36-9-8'!E21+'SAT 10-36-9-8'!E21+'SAT 15-36-9-8'!E21+'FAC 1-25-9-8'!E22+'SAT 9-36-9-8'!E21</f>
        <v>10378.120000000001</v>
      </c>
      <c r="F25" s="6">
        <f>+'100 5-30-9-7 '!E11+'100 10-36-9-8 Water Source'!E12+'FAC 7-36-9-8'!E19+'102 8-35-9-8'!F21+'102 8-36-9-8'!F21+'SAT 10-36-9-8'!F21+'SAT 15-36-9-8'!F21+'FAC 1-25-9-8'!F22+'SAT 9-36-9-8'!F21</f>
        <v>13293.8</v>
      </c>
      <c r="G25" s="6">
        <f>+'100 5-30-9-7 '!F11+'100 10-36-9-8 Water Source'!F12+'FAC 7-36-9-8'!F19+'102 8-35-9-8'!G21+'102 8-36-9-8'!G21+'SAT 10-36-9-8'!G21+'SAT 15-36-9-8'!G21+'FAC 1-25-9-8'!G22+'SAT 9-36-9-8'!G21</f>
        <v>12538.150000000001</v>
      </c>
      <c r="H25" s="6">
        <f>+'100 5-30-9-7 '!G11+'100 10-36-9-8 Water Source'!G12+'FAC 7-36-9-8'!G19+'102 8-35-9-8'!H21+'102 8-36-9-8'!H21+'SAT 10-36-9-8'!H21+'SAT 15-36-9-8'!H21+'FAC 1-25-9-8'!H22+'SAT 9-36-9-8'!H21</f>
        <v>10213.009999999998</v>
      </c>
      <c r="I25" s="6">
        <f>+'100 5-30-9-7 '!H11+'100 10-36-9-8 Water Source'!H12+'FAC 7-36-9-8'!H19+'102 8-35-9-8'!I21+'102 8-36-9-8'!I21+'SAT 10-36-9-8'!I21+'SAT 15-36-9-8'!I21+'FAC 1-25-9-8'!I22+'SAT 9-36-9-8'!I21</f>
        <v>0</v>
      </c>
      <c r="J25" s="6">
        <f>+'100 5-30-9-7 '!I11+'100 10-36-9-8 Water Source'!I12+'FAC 7-36-9-8'!I19+'102 8-35-9-8'!J21+'102 8-36-9-8'!J21+'SAT 10-36-9-8'!J21+'SAT 15-36-9-8'!J21+'FAC 1-25-9-8'!J22+'SAT 9-36-9-8'!J21</f>
        <v>0</v>
      </c>
      <c r="K25" s="6">
        <f>+'100 5-30-9-7 '!J11+'100 10-36-9-8 Water Source'!J12+'FAC 7-36-9-8'!J19+'102 8-35-9-8'!K21+'102 8-36-9-8'!K21+'SAT 10-36-9-8'!K21+'SAT 15-36-9-8'!K21+'FAC 1-25-9-8'!K22+'SAT 9-36-9-8'!K21</f>
        <v>0</v>
      </c>
      <c r="L25" s="6">
        <f>+'100 5-30-9-7 '!K11+'100 10-36-9-8 Water Source'!K12+'FAC 7-36-9-8'!K19+'102 8-35-9-8'!L21+'102 8-36-9-8'!L21+'SAT 10-36-9-8'!L21+'SAT 15-36-9-8'!L21+'FAC 1-25-9-8'!L22+'SAT 9-36-9-8'!L21</f>
        <v>0</v>
      </c>
      <c r="M25" s="6">
        <f>+'100 5-30-9-7 '!L11+'100 10-36-9-8 Water Source'!L12+'FAC 7-36-9-8'!L19+'102 8-35-9-8'!M21+'102 8-36-9-8'!M21+'SAT 10-36-9-8'!M21+'SAT 15-36-9-8'!M21+'FAC 1-25-9-8'!M22+'SAT 9-36-9-8'!M21</f>
        <v>0</v>
      </c>
      <c r="N25" s="6">
        <f>+'100 5-30-9-7 '!M11+'100 10-36-9-8 Water Source'!M12+'FAC 7-36-9-8'!M19+'102 8-35-9-8'!N21+'102 8-36-9-8'!N21+'SAT 10-36-9-8'!N21+'SAT 15-36-9-8'!N21+'FAC 1-25-9-8'!N22+'SAT 9-36-9-8'!N21</f>
        <v>0</v>
      </c>
      <c r="O25" s="6">
        <f t="shared" si="12"/>
        <v>75057.37</v>
      </c>
    </row>
    <row r="26" spans="1:15" x14ac:dyDescent="0.25">
      <c r="A26" s="3" t="s">
        <v>36</v>
      </c>
      <c r="B26" s="3"/>
      <c r="C26" s="6">
        <f>+'FAC 7-36-9-8'!B21+'FAC 1-25-9-8'!C23</f>
        <v>200</v>
      </c>
      <c r="D26" s="6">
        <f>+'FAC 7-36-9-8'!C21+'FAC 1-25-9-8'!D23</f>
        <v>200</v>
      </c>
      <c r="E26" s="6">
        <f>+'FAC 7-36-9-8'!D21+'FAC 1-25-9-8'!E23</f>
        <v>200</v>
      </c>
      <c r="F26" s="6">
        <f>+'FAC 7-36-9-8'!E21+'FAC 1-25-9-8'!F23</f>
        <v>642.5</v>
      </c>
      <c r="G26" s="6">
        <f>+'FAC 7-36-9-8'!F21+'FAC 1-25-9-8'!G23</f>
        <v>200</v>
      </c>
      <c r="H26" s="6">
        <f>+'FAC 7-36-9-8'!G21+'FAC 1-25-9-8'!H23</f>
        <v>200</v>
      </c>
      <c r="I26" s="6">
        <f>+'FAC 7-36-9-8'!H21+'FAC 1-25-9-8'!I23</f>
        <v>0</v>
      </c>
      <c r="J26" s="6">
        <f>+'FAC 7-36-9-8'!I21+'FAC 1-25-9-8'!J23</f>
        <v>0</v>
      </c>
      <c r="K26" s="6">
        <f>+'FAC 7-36-9-8'!J21+'FAC 1-25-9-8'!K23</f>
        <v>0</v>
      </c>
      <c r="L26" s="6">
        <f>+'FAC 7-36-9-8'!K21+'FAC 1-25-9-8'!L23</f>
        <v>0</v>
      </c>
      <c r="M26" s="6">
        <f>+'FAC 7-36-9-8'!L21+'FAC 1-25-9-8'!M23</f>
        <v>0</v>
      </c>
      <c r="N26" s="6">
        <f>+'FAC 7-36-9-8'!M21+'FAC 1-25-9-8'!N23</f>
        <v>0</v>
      </c>
      <c r="O26" s="6">
        <f t="shared" si="12"/>
        <v>1642.5</v>
      </c>
    </row>
    <row r="27" spans="1:15" x14ac:dyDescent="0.25">
      <c r="A27" s="3" t="s">
        <v>70</v>
      </c>
      <c r="B27" s="3"/>
      <c r="C27" s="6">
        <f>+'FAC 1-25-9-8'!C24+'FAC 7-36-9-8'!B20</f>
        <v>0</v>
      </c>
      <c r="D27" s="6">
        <f>+'FAC 1-25-9-8'!D24+'FAC 7-36-9-8'!C20</f>
        <v>0</v>
      </c>
      <c r="E27" s="6">
        <f>+'FAC 1-25-9-8'!E24+'FAC 7-36-9-8'!D20</f>
        <v>0</v>
      </c>
      <c r="F27" s="6">
        <f>+'FAC 1-25-9-8'!F24+'FAC 7-36-9-8'!E20</f>
        <v>0</v>
      </c>
      <c r="G27" s="6">
        <f>+'FAC 1-25-9-8'!G24+'FAC 7-36-9-8'!F20</f>
        <v>11924.23</v>
      </c>
      <c r="H27" s="6">
        <f>+'FAC 1-25-9-8'!H24+'FAC 7-36-9-8'!G20</f>
        <v>0</v>
      </c>
      <c r="I27" s="6">
        <f>+'FAC 1-25-9-8'!I24+'FAC 7-36-9-8'!H20</f>
        <v>0</v>
      </c>
      <c r="J27" s="6">
        <f>+'FAC 1-25-9-8'!J24+'FAC 7-36-9-8'!I20</f>
        <v>0</v>
      </c>
      <c r="K27" s="6">
        <f>+'FAC 1-25-9-8'!K24+'FAC 7-36-9-8'!J20</f>
        <v>0</v>
      </c>
      <c r="L27" s="6">
        <f>+'FAC 1-25-9-8'!L24+'FAC 7-36-9-8'!K20</f>
        <v>0</v>
      </c>
      <c r="M27" s="6">
        <f>+'FAC 1-25-9-8'!M24+'FAC 7-36-9-8'!L20</f>
        <v>0</v>
      </c>
      <c r="N27" s="6">
        <f>+'FAC 1-25-9-8'!N24+'FAC 7-36-9-8'!M20</f>
        <v>0</v>
      </c>
      <c r="O27" s="6">
        <f t="shared" si="12"/>
        <v>11924.23</v>
      </c>
    </row>
    <row r="28" spans="1:15" x14ac:dyDescent="0.25">
      <c r="A28" s="3" t="s">
        <v>9</v>
      </c>
      <c r="B28" s="3"/>
      <c r="C28" s="4"/>
      <c r="D28" s="4"/>
      <c r="E28" s="4"/>
      <c r="F28" s="4"/>
      <c r="G28" s="4"/>
      <c r="H28" s="4"/>
      <c r="I28" s="78"/>
      <c r="J28" s="78"/>
      <c r="K28" s="78"/>
      <c r="L28" s="78"/>
      <c r="M28" s="78"/>
      <c r="N28" s="78"/>
      <c r="O28" s="6"/>
    </row>
    <row r="29" spans="1:15" x14ac:dyDescent="0.25">
      <c r="A29" s="83" t="s">
        <v>66</v>
      </c>
      <c r="B29" s="3"/>
      <c r="C29" s="4">
        <f>+'FAC 1-25-9-8'!C26</f>
        <v>0</v>
      </c>
      <c r="D29" s="4">
        <f>+'FAC 1-25-9-8'!D26</f>
        <v>0</v>
      </c>
      <c r="E29" s="4">
        <f>+'FAC 1-25-9-8'!E26</f>
        <v>0</v>
      </c>
      <c r="F29" s="4">
        <f>+'FAC 1-25-9-8'!F26</f>
        <v>0</v>
      </c>
      <c r="G29" s="4">
        <f>+'FAC 1-25-9-8'!G26</f>
        <v>0</v>
      </c>
      <c r="H29" s="4">
        <f>+'FAC 1-25-9-8'!H26</f>
        <v>0</v>
      </c>
      <c r="I29" s="4">
        <f>+'FAC 1-25-9-8'!I26</f>
        <v>0</v>
      </c>
      <c r="J29" s="4">
        <f>+'FAC 1-25-9-8'!J26</f>
        <v>0</v>
      </c>
      <c r="K29" s="4">
        <f>+'FAC 1-25-9-8'!K26</f>
        <v>0</v>
      </c>
      <c r="L29" s="4">
        <f>+'FAC 1-25-9-8'!L26</f>
        <v>0</v>
      </c>
      <c r="M29" s="4">
        <f>+'FAC 1-25-9-8'!M26</f>
        <v>0</v>
      </c>
      <c r="N29" s="4">
        <f>+'FAC 1-25-9-8'!N26</f>
        <v>0</v>
      </c>
      <c r="O29" s="6">
        <f t="shared" si="12"/>
        <v>0</v>
      </c>
    </row>
    <row r="30" spans="1:15" x14ac:dyDescent="0.25">
      <c r="A30" s="83" t="s">
        <v>10</v>
      </c>
      <c r="B30" s="3"/>
      <c r="C30" s="4">
        <f>+'100 5-30-9-7 '!B13</f>
        <v>0</v>
      </c>
      <c r="D30" s="4">
        <f>+'100 5-30-9-7 '!C13</f>
        <v>360</v>
      </c>
      <c r="E30" s="4">
        <f>+'100 5-30-9-7 '!D13</f>
        <v>0</v>
      </c>
      <c r="F30" s="4">
        <f>+'100 5-30-9-7 '!E13</f>
        <v>0</v>
      </c>
      <c r="G30" s="4">
        <f>+'100 5-30-9-7 '!F13</f>
        <v>0</v>
      </c>
      <c r="H30" s="4">
        <f>+'100 5-30-9-7 '!G13</f>
        <v>0</v>
      </c>
      <c r="I30" s="4">
        <f>+'100 5-30-9-7 '!H13</f>
        <v>0</v>
      </c>
      <c r="J30" s="4">
        <f>+'100 5-30-9-7 '!I13</f>
        <v>0</v>
      </c>
      <c r="K30" s="4">
        <f>+'100 5-30-9-7 '!J13</f>
        <v>0</v>
      </c>
      <c r="L30" s="4">
        <f>+'100 5-30-9-7 '!K13</f>
        <v>0</v>
      </c>
      <c r="M30" s="4">
        <f>+'100 5-30-9-7 '!L13</f>
        <v>0</v>
      </c>
      <c r="N30" s="4">
        <f>+'100 5-30-9-7 '!M13</f>
        <v>0</v>
      </c>
      <c r="O30" s="6">
        <f t="shared" si="12"/>
        <v>360</v>
      </c>
    </row>
    <row r="31" spans="1:15" x14ac:dyDescent="0.25">
      <c r="A31" s="3" t="s">
        <v>11</v>
      </c>
      <c r="B31" s="3"/>
      <c r="C31" s="4">
        <f>+'100 5-30-9-7 '!B14+'FAC 7-36-9-8'!B23+'102 8-35-9-8'!C24+'102 8-36-9-8'!C23+'SAT 10-36-9-8'!C23+'SAT 15-36-9-8'!C23+'FAC 1-25-9-8'!C27+'SAT 9-36-9-8'!C23</f>
        <v>0</v>
      </c>
      <c r="D31" s="4">
        <f>+'100 5-30-9-7 '!C14+'FAC 7-36-9-8'!C23+'102 8-35-9-8'!D24+'102 8-36-9-8'!D23+'SAT 10-36-9-8'!D23+'SAT 15-36-9-8'!D23+'FAC 1-25-9-8'!D27+'SAT 9-36-9-8'!D23</f>
        <v>0</v>
      </c>
      <c r="E31" s="4">
        <f>+'100 5-30-9-7 '!D14+'FAC 7-36-9-8'!D23+'102 8-35-9-8'!E24+'102 8-36-9-8'!E23+'SAT 10-36-9-8'!E23+'SAT 15-36-9-8'!E23+'FAC 1-25-9-8'!E27+'SAT 9-36-9-8'!E23</f>
        <v>10660</v>
      </c>
      <c r="F31" s="4">
        <f>+'100 5-30-9-7 '!E14+'FAC 7-36-9-8'!E23+'102 8-35-9-8'!F24+'102 8-36-9-8'!F23+'SAT 10-36-9-8'!F23+'SAT 15-36-9-8'!F23+'FAC 1-25-9-8'!F27+'SAT 9-36-9-8'!F23</f>
        <v>0</v>
      </c>
      <c r="G31" s="4">
        <f>+'100 5-30-9-7 '!F14+'FAC 7-36-9-8'!F23+'102 8-35-9-8'!G24+'102 8-36-9-8'!G23+'SAT 10-36-9-8'!G23+'SAT 15-36-9-8'!G23+'FAC 1-25-9-8'!G27+'SAT 9-36-9-8'!G23</f>
        <v>0</v>
      </c>
      <c r="H31" s="4">
        <f>+'100 5-30-9-7 '!G14+'FAC 7-36-9-8'!G23+'102 8-35-9-8'!H24+'102 8-36-9-8'!H23+'SAT 10-36-9-8'!H23+'SAT 15-36-9-8'!H23+'FAC 1-25-9-8'!H27+'SAT 9-36-9-8'!H23</f>
        <v>8050</v>
      </c>
      <c r="I31" s="4">
        <f>+'100 5-30-9-7 '!H14+'FAC 7-36-9-8'!H23+'102 8-35-9-8'!I24+'102 8-36-9-8'!I23+'SAT 10-36-9-8'!I23+'SAT 15-36-9-8'!I23+'FAC 1-25-9-8'!I27+'SAT 9-36-9-8'!I23</f>
        <v>0</v>
      </c>
      <c r="J31" s="4">
        <f>+'100 5-30-9-7 '!I14+'FAC 7-36-9-8'!I23+'102 8-35-9-8'!J24+'102 8-36-9-8'!J23+'SAT 10-36-9-8'!J23+'SAT 15-36-9-8'!J23+'FAC 1-25-9-8'!J27+'SAT 9-36-9-8'!J23</f>
        <v>0</v>
      </c>
      <c r="K31" s="4">
        <f>+'100 5-30-9-7 '!J14+'FAC 7-36-9-8'!J23+'102 8-35-9-8'!K24+'102 8-36-9-8'!K23+'SAT 10-36-9-8'!K23+'SAT 15-36-9-8'!K23+'FAC 1-25-9-8'!K27+'SAT 9-36-9-8'!K23</f>
        <v>0</v>
      </c>
      <c r="L31" s="4">
        <f>+'100 5-30-9-7 '!K14+'FAC 7-36-9-8'!K23+'102 8-35-9-8'!L24+'102 8-36-9-8'!L23+'SAT 10-36-9-8'!L23+'SAT 15-36-9-8'!L23+'FAC 1-25-9-8'!L27+'SAT 9-36-9-8'!L23</f>
        <v>0</v>
      </c>
      <c r="M31" s="4">
        <f>+'100 5-30-9-7 '!L14+'FAC 7-36-9-8'!L23+'102 8-35-9-8'!M24+'102 8-36-9-8'!M23+'SAT 10-36-9-8'!M23+'SAT 15-36-9-8'!M23+'FAC 1-25-9-8'!M27+'SAT 9-36-9-8'!M23</f>
        <v>0</v>
      </c>
      <c r="N31" s="4">
        <f>+'100 5-30-9-7 '!M14+'FAC 7-36-9-8'!M23+'102 8-35-9-8'!N24+'102 8-36-9-8'!N23+'SAT 10-36-9-8'!N23+'SAT 15-36-9-8'!N23+'FAC 1-25-9-8'!N27+'SAT 9-36-9-8'!N23</f>
        <v>0</v>
      </c>
      <c r="O31" s="6">
        <f t="shared" si="12"/>
        <v>18710</v>
      </c>
    </row>
    <row r="32" spans="1:15" x14ac:dyDescent="0.25">
      <c r="A32" s="3" t="s">
        <v>12</v>
      </c>
      <c r="B32" s="3"/>
      <c r="C32" s="5">
        <f>+C29+C30+C31</f>
        <v>0</v>
      </c>
      <c r="D32" s="5">
        <f t="shared" ref="D32:L32" si="13">+D29+D30+D31</f>
        <v>360</v>
      </c>
      <c r="E32" s="5">
        <f t="shared" si="13"/>
        <v>10660</v>
      </c>
      <c r="F32" s="5">
        <f t="shared" si="13"/>
        <v>0</v>
      </c>
      <c r="G32" s="5">
        <f t="shared" si="13"/>
        <v>0</v>
      </c>
      <c r="H32" s="5">
        <f t="shared" si="13"/>
        <v>8050</v>
      </c>
      <c r="I32" s="5">
        <f t="shared" si="13"/>
        <v>0</v>
      </c>
      <c r="J32" s="5">
        <f t="shared" si="13"/>
        <v>0</v>
      </c>
      <c r="K32" s="5">
        <f t="shared" si="13"/>
        <v>0</v>
      </c>
      <c r="L32" s="5">
        <f t="shared" si="13"/>
        <v>0</v>
      </c>
      <c r="M32" s="5">
        <f t="shared" ref="M32:N32" si="14">+M29+M30+M31</f>
        <v>0</v>
      </c>
      <c r="N32" s="5">
        <f t="shared" si="14"/>
        <v>0</v>
      </c>
      <c r="O32" s="108">
        <f t="shared" si="12"/>
        <v>19070</v>
      </c>
    </row>
    <row r="33" spans="1:16" x14ac:dyDescent="0.25">
      <c r="A33" s="3" t="s">
        <v>13</v>
      </c>
      <c r="B33" s="3"/>
      <c r="C33" s="6">
        <f>+'100 5-30-9-7 '!B16+'100 10-36-9-8 Water Source'!B13+'FAC 7-36-9-8'!B25+'102 8-35-9-8'!C26+'102 8-36-9-8'!C25+'SAT 10-36-9-8'!C25+'SAT 15-36-9-8'!C25+'FAC 1-25-9-8'!C29+'SAT 9-36-9-8'!C25</f>
        <v>4.78</v>
      </c>
      <c r="D33" s="6">
        <f>+'100 5-30-9-7 '!C16+'100 10-36-9-8 Water Source'!C13+'FAC 7-36-9-8'!C25+'102 8-35-9-8'!D26+'102 8-36-9-8'!D25+'SAT 10-36-9-8'!D25+'SAT 15-36-9-8'!D25+'FAC 1-25-9-8'!D29+'SAT 9-36-9-8'!D25</f>
        <v>0</v>
      </c>
      <c r="E33" s="6">
        <f>+'100 5-30-9-7 '!D16+'100 10-36-9-8 Water Source'!D13+'FAC 7-36-9-8'!D25+'102 8-35-9-8'!E26+'102 8-36-9-8'!E25+'SAT 10-36-9-8'!E25+'SAT 15-36-9-8'!E25+'FAC 1-25-9-8'!E29+'SAT 9-36-9-8'!E25</f>
        <v>802.19999999999993</v>
      </c>
      <c r="F33" s="6">
        <f>+'100 5-30-9-7 '!E16+'100 10-36-9-8 Water Source'!E13+'FAC 7-36-9-8'!E25+'102 8-35-9-8'!F26+'102 8-36-9-8'!F25+'SAT 10-36-9-8'!F25+'SAT 15-36-9-8'!F25+'FAC 1-25-9-8'!F29+'SAT 9-36-9-8'!F25</f>
        <v>0</v>
      </c>
      <c r="G33" s="6">
        <f>+'100 5-30-9-7 '!F16+'100 10-36-9-8 Water Source'!F13+'FAC 7-36-9-8'!F25+'102 8-35-9-8'!G26+'102 8-36-9-8'!G25+'SAT 10-36-9-8'!G25+'SAT 15-36-9-8'!G25+'FAC 1-25-9-8'!G29+'SAT 9-36-9-8'!G25</f>
        <v>3913.3199999999997</v>
      </c>
      <c r="H33" s="6">
        <f>+'100 5-30-9-7 '!G16+'100 10-36-9-8 Water Source'!G13+'FAC 7-36-9-8'!G25+'102 8-35-9-8'!H26+'102 8-36-9-8'!H25+'SAT 10-36-9-8'!H25+'SAT 15-36-9-8'!H25+'FAC 1-25-9-8'!H29+'SAT 9-36-9-8'!H25</f>
        <v>0</v>
      </c>
      <c r="I33" s="6">
        <f>+'100 5-30-9-7 '!H16+'100 10-36-9-8 Water Source'!H13+'FAC 7-36-9-8'!H25+'102 8-35-9-8'!I26+'102 8-36-9-8'!I25+'SAT 10-36-9-8'!I25+'SAT 15-36-9-8'!I25+'FAC 1-25-9-8'!I29+'SAT 9-36-9-8'!I25</f>
        <v>0</v>
      </c>
      <c r="J33" s="6">
        <f>+'100 5-30-9-7 '!I16+'100 10-36-9-8 Water Source'!I13+'FAC 7-36-9-8'!I25+'102 8-35-9-8'!J26+'102 8-36-9-8'!J25+'SAT 10-36-9-8'!J25+'SAT 15-36-9-8'!J25+'FAC 1-25-9-8'!J29+'SAT 9-36-9-8'!J25</f>
        <v>0</v>
      </c>
      <c r="K33" s="6">
        <f>+'100 5-30-9-7 '!J16+'100 10-36-9-8 Water Source'!J13+'FAC 7-36-9-8'!J25+'102 8-35-9-8'!K26+'102 8-36-9-8'!K25+'SAT 10-36-9-8'!K25+'SAT 15-36-9-8'!K25+'FAC 1-25-9-8'!K29+'SAT 9-36-9-8'!K25</f>
        <v>0</v>
      </c>
      <c r="L33" s="6">
        <f>+'100 5-30-9-7 '!K16+'100 10-36-9-8 Water Source'!K13+'FAC 7-36-9-8'!K25+'102 8-35-9-8'!L26+'102 8-36-9-8'!L25+'SAT 10-36-9-8'!L25+'SAT 15-36-9-8'!L25+'FAC 1-25-9-8'!L29+'SAT 9-36-9-8'!L25</f>
        <v>0</v>
      </c>
      <c r="M33" s="6">
        <f>+'100 5-30-9-7 '!L16+'100 10-36-9-8 Water Source'!L13+'FAC 7-36-9-8'!L25+'102 8-35-9-8'!M26+'102 8-36-9-8'!M25+'SAT 10-36-9-8'!M25+'SAT 15-36-9-8'!M25+'FAC 1-25-9-8'!M29+'SAT 9-36-9-8'!M25</f>
        <v>0</v>
      </c>
      <c r="N33" s="6">
        <f>+'100 5-30-9-7 '!M16+'100 10-36-9-8 Water Source'!M13+'FAC 7-36-9-8'!M25+'102 8-35-9-8'!N26+'102 8-36-9-8'!N25+'SAT 10-36-9-8'!N25+'SAT 15-36-9-8'!N25+'FAC 1-25-9-8'!N29+'SAT 9-36-9-8'!N25</f>
        <v>0</v>
      </c>
      <c r="O33" s="6">
        <f t="shared" si="12"/>
        <v>4720.2999999999993</v>
      </c>
    </row>
    <row r="34" spans="1:16" x14ac:dyDescent="0.25">
      <c r="A34" s="3" t="s">
        <v>73</v>
      </c>
      <c r="B34" s="3"/>
      <c r="C34" s="6">
        <f>+'100 5-30-9-7 '!B17+'100 10-36-9-8 Water Source'!B14+'FAC 7-36-9-8'!B26+'102 8-35-9-8'!C27+'102 8-36-9-8'!C26+'SAT 10-36-9-8'!C26+'SAT 15-36-9-8'!C26+'FAC 1-25-9-8'!C30+'SAT 9-36-9-8'!C26</f>
        <v>0</v>
      </c>
      <c r="D34" s="6">
        <f>+'100 5-30-9-7 '!C17+'100 10-36-9-8 Water Source'!C14+'FAC 7-36-9-8'!C26+'102 8-35-9-8'!D27+'102 8-36-9-8'!D26+'SAT 10-36-9-8'!D26+'SAT 15-36-9-8'!D26+'FAC 1-25-9-8'!D30+'SAT 9-36-9-8'!D26</f>
        <v>0</v>
      </c>
      <c r="E34" s="6">
        <f>+'100 5-30-9-7 '!D17+'100 10-36-9-8 Water Source'!D14+'FAC 7-36-9-8'!D26+'102 8-35-9-8'!E27+'102 8-36-9-8'!E26+'SAT 10-36-9-8'!E26+'SAT 15-36-9-8'!E26+'FAC 1-25-9-8'!E30+'SAT 9-36-9-8'!E26</f>
        <v>0</v>
      </c>
      <c r="F34" s="6">
        <f>+'100 5-30-9-7 '!E17+'100 10-36-9-8 Water Source'!E14+'FAC 7-36-9-8'!E26+'102 8-35-9-8'!F27+'102 8-36-9-8'!F26+'SAT 10-36-9-8'!F26+'SAT 15-36-9-8'!F26+'FAC 1-25-9-8'!F30+'SAT 9-36-9-8'!F26</f>
        <v>0</v>
      </c>
      <c r="G34" s="6">
        <f>+'100 5-30-9-7 '!F17+'100 10-36-9-8 Water Source'!F14+'FAC 7-36-9-8'!F26+'102 8-35-9-8'!G27+'102 8-36-9-8'!G26+'SAT 10-36-9-8'!G26+'SAT 15-36-9-8'!G26+'FAC 1-25-9-8'!G30+'SAT 9-36-9-8'!G26</f>
        <v>0</v>
      </c>
      <c r="H34" s="6">
        <f>+'100 5-30-9-7 '!G17+'100 10-36-9-8 Water Source'!G14+'FAC 7-36-9-8'!G26+'102 8-35-9-8'!H27+'102 8-36-9-8'!H26+'SAT 10-36-9-8'!H26+'SAT 15-36-9-8'!H26+'FAC 1-25-9-8'!H30+'SAT 9-36-9-8'!H26</f>
        <v>0</v>
      </c>
      <c r="I34" s="6">
        <f>+'100 5-30-9-7 '!H17+'100 10-36-9-8 Water Source'!H14+'FAC 7-36-9-8'!H26+'102 8-35-9-8'!I27+'102 8-36-9-8'!I26+'SAT 10-36-9-8'!I26+'SAT 15-36-9-8'!I26+'FAC 1-25-9-8'!I30+'SAT 9-36-9-8'!I26</f>
        <v>0</v>
      </c>
      <c r="J34" s="6">
        <f>+'100 5-30-9-7 '!I17+'100 10-36-9-8 Water Source'!I14+'FAC 7-36-9-8'!I26+'102 8-35-9-8'!J27+'102 8-36-9-8'!J26+'SAT 10-36-9-8'!J26+'SAT 15-36-9-8'!J26+'FAC 1-25-9-8'!J30+'SAT 9-36-9-8'!J26</f>
        <v>0</v>
      </c>
      <c r="K34" s="6">
        <f>+'100 5-30-9-7 '!J17+'100 10-36-9-8 Water Source'!J14+'FAC 7-36-9-8'!J26+'102 8-35-9-8'!K27+'102 8-36-9-8'!K26+'SAT 10-36-9-8'!K26+'SAT 15-36-9-8'!K26+'FAC 1-25-9-8'!K30+'SAT 9-36-9-8'!K26</f>
        <v>0</v>
      </c>
      <c r="L34" s="6">
        <f>+'100 5-30-9-7 '!K17+'100 10-36-9-8 Water Source'!K14+'FAC 7-36-9-8'!K26+'102 8-35-9-8'!L27+'102 8-36-9-8'!L26+'SAT 10-36-9-8'!L26+'SAT 15-36-9-8'!L26+'FAC 1-25-9-8'!L30+'SAT 9-36-9-8'!L26</f>
        <v>0</v>
      </c>
      <c r="M34" s="6">
        <f>+'100 5-30-9-7 '!L17+'100 10-36-9-8 Water Source'!L14+'FAC 7-36-9-8'!L26+'102 8-35-9-8'!M27+'102 8-36-9-8'!M26+'SAT 10-36-9-8'!M26+'SAT 15-36-9-8'!M26+'FAC 1-25-9-8'!M30+'SAT 9-36-9-8'!M26</f>
        <v>0</v>
      </c>
      <c r="N34" s="6">
        <f>+'100 5-30-9-7 '!M17+'100 10-36-9-8 Water Source'!M14+'FAC 7-36-9-8'!M26+'102 8-35-9-8'!N27+'102 8-36-9-8'!N26+'SAT 10-36-9-8'!N26+'SAT 15-36-9-8'!N26+'FAC 1-25-9-8'!N30+'SAT 9-36-9-8'!N26</f>
        <v>0</v>
      </c>
      <c r="O34" s="6">
        <f t="shared" si="12"/>
        <v>0</v>
      </c>
    </row>
    <row r="35" spans="1:16" x14ac:dyDescent="0.25">
      <c r="A35" s="83" t="s">
        <v>63</v>
      </c>
      <c r="B35" s="3"/>
      <c r="C35" s="6">
        <f>+'FAC 7-36-9-8'!B28+'102 8-36-9-8'!C27+'FAC 1-25-9-8'!C31+'102 8-35-9-8'!C28+'SAT 9-36-9-8'!C27</f>
        <v>1458</v>
      </c>
      <c r="D35" s="6">
        <f>+'FAC 7-36-9-8'!C28+'102 8-36-9-8'!D27+'FAC 1-25-9-8'!D31+'102 8-35-9-8'!D28+'SAT 9-36-9-8'!D27</f>
        <v>364</v>
      </c>
      <c r="E35" s="6">
        <f>+'FAC 7-36-9-8'!D28+'102 8-36-9-8'!E27+'FAC 1-25-9-8'!E31+'102 8-35-9-8'!E28+'SAT 9-36-9-8'!E27</f>
        <v>6306.48</v>
      </c>
      <c r="F35" s="6">
        <f>+'FAC 7-36-9-8'!E28+'102 8-36-9-8'!F27+'FAC 1-25-9-8'!F31+'102 8-35-9-8'!F28+'SAT 9-36-9-8'!F27</f>
        <v>997.5</v>
      </c>
      <c r="G35" s="6">
        <f>+'FAC 7-36-9-8'!F28+'102 8-36-9-8'!G27+'FAC 1-25-9-8'!G31+'102 8-35-9-8'!G28+'SAT 9-36-9-8'!G27</f>
        <v>190</v>
      </c>
      <c r="H35" s="6">
        <f>+'FAC 7-36-9-8'!G28+'102 8-36-9-8'!H27+'FAC 1-25-9-8'!H31+'102 8-35-9-8'!H28+'SAT 9-36-9-8'!H27</f>
        <v>1837.5</v>
      </c>
      <c r="I35" s="6">
        <f>+'FAC 7-36-9-8'!H28+'102 8-36-9-8'!I27+'FAC 1-25-9-8'!I31+'102 8-35-9-8'!I28+'SAT 9-36-9-8'!I27</f>
        <v>0</v>
      </c>
      <c r="J35" s="6">
        <f>+'FAC 7-36-9-8'!I28+'102 8-36-9-8'!J27+'FAC 1-25-9-8'!J31+'102 8-35-9-8'!J28+'SAT 9-36-9-8'!J27</f>
        <v>0</v>
      </c>
      <c r="K35" s="6">
        <f>+'FAC 7-36-9-8'!J28+'102 8-36-9-8'!K27+'FAC 1-25-9-8'!K31+'102 8-35-9-8'!K28+'SAT 9-36-9-8'!K27</f>
        <v>0</v>
      </c>
      <c r="L35" s="6">
        <f>+'FAC 7-36-9-8'!K28+'102 8-36-9-8'!L27+'FAC 1-25-9-8'!L31+'102 8-35-9-8'!L28+'SAT 9-36-9-8'!L27</f>
        <v>0</v>
      </c>
      <c r="M35" s="6">
        <f>+'FAC 7-36-9-8'!L28+'102 8-36-9-8'!M27+'FAC 1-25-9-8'!M31+'102 8-35-9-8'!M28+'SAT 9-36-9-8'!M27</f>
        <v>0</v>
      </c>
      <c r="N35" s="6">
        <f>+'FAC 7-36-9-8'!M28+'102 8-36-9-8'!N27+'FAC 1-25-9-8'!N31+'102 8-35-9-8'!N28+'SAT 9-36-9-8'!N27</f>
        <v>0</v>
      </c>
      <c r="O35" s="6">
        <f t="shared" si="12"/>
        <v>11153.48</v>
      </c>
    </row>
    <row r="36" spans="1:16" x14ac:dyDescent="0.25">
      <c r="A36" s="3" t="s">
        <v>30</v>
      </c>
      <c r="B36" s="3"/>
      <c r="C36" s="4">
        <f>+'FAC 7-36-9-8'!B29+'102 8-35-9-8'!C29+'102 8-36-9-8'!C28+'SAT 10-36-9-8'!C28+'SAT 15-36-9-8'!C28+'FAC 1-25-9-8'!C32+'SAT 9-36-9-8'!C28+'100 10-36-9-8 Water Source'!B16</f>
        <v>0</v>
      </c>
      <c r="D36" s="4">
        <f>+'FAC 7-36-9-8'!C29+'102 8-35-9-8'!D29+'102 8-36-9-8'!D28+'SAT 10-36-9-8'!D28+'SAT 15-36-9-8'!D28+'FAC 1-25-9-8'!D32+'SAT 9-36-9-8'!D28+'100 10-36-9-8 Water Source'!C16</f>
        <v>440</v>
      </c>
      <c r="E36" s="4">
        <f>+'FAC 7-36-9-8'!D29+'102 8-35-9-8'!E29+'102 8-36-9-8'!E28+'SAT 10-36-9-8'!E28+'SAT 15-36-9-8'!E28+'FAC 1-25-9-8'!E32+'SAT 9-36-9-8'!E28+'100 10-36-9-8 Water Source'!D16</f>
        <v>330</v>
      </c>
      <c r="F36" s="4">
        <f>+'FAC 7-36-9-8'!E29+'102 8-35-9-8'!F29+'102 8-36-9-8'!F28+'SAT 10-36-9-8'!F28+'SAT 15-36-9-8'!F28+'FAC 1-25-9-8'!F32+'SAT 9-36-9-8'!F28+'100 10-36-9-8 Water Source'!E16</f>
        <v>0</v>
      </c>
      <c r="G36" s="4">
        <f>+'FAC 7-36-9-8'!F29+'102 8-35-9-8'!G29+'102 8-36-9-8'!G28+'SAT 10-36-9-8'!G28+'SAT 15-36-9-8'!G28+'FAC 1-25-9-8'!G32+'SAT 9-36-9-8'!G28+'100 10-36-9-8 Water Source'!F16</f>
        <v>1275</v>
      </c>
      <c r="H36" s="4">
        <f>+'FAC 7-36-9-8'!G29+'102 8-35-9-8'!H29+'102 8-36-9-8'!H28+'SAT 10-36-9-8'!H28+'SAT 15-36-9-8'!H28+'FAC 1-25-9-8'!H32+'SAT 9-36-9-8'!H28+'100 10-36-9-8 Water Source'!G16</f>
        <v>0</v>
      </c>
      <c r="I36" s="4">
        <f>+'FAC 7-36-9-8'!H29+'102 8-35-9-8'!I29+'102 8-36-9-8'!I28+'SAT 10-36-9-8'!I28+'SAT 15-36-9-8'!I28+'FAC 1-25-9-8'!I32+'SAT 9-36-9-8'!I28+'100 10-36-9-8 Water Source'!H16</f>
        <v>0</v>
      </c>
      <c r="J36" s="4">
        <f>+'FAC 7-36-9-8'!I29+'102 8-35-9-8'!J29+'102 8-36-9-8'!J28+'SAT 10-36-9-8'!J28+'SAT 15-36-9-8'!J28+'FAC 1-25-9-8'!J32+'SAT 9-36-9-8'!J28+'100 10-36-9-8 Water Source'!I16</f>
        <v>0</v>
      </c>
      <c r="K36" s="4">
        <f>+'FAC 7-36-9-8'!J29+'102 8-35-9-8'!K29+'102 8-36-9-8'!K28+'SAT 10-36-9-8'!K28+'SAT 15-36-9-8'!K28+'FAC 1-25-9-8'!K32+'SAT 9-36-9-8'!K28+'100 10-36-9-8 Water Source'!J16</f>
        <v>0</v>
      </c>
      <c r="L36" s="4">
        <f>+'FAC 7-36-9-8'!K29+'102 8-35-9-8'!L29+'102 8-36-9-8'!L28+'SAT 10-36-9-8'!L28+'SAT 15-36-9-8'!L28+'FAC 1-25-9-8'!L32+'SAT 9-36-9-8'!L28+'100 10-36-9-8 Water Source'!K16</f>
        <v>0</v>
      </c>
      <c r="M36" s="4">
        <f>+'FAC 7-36-9-8'!L29+'102 8-35-9-8'!M29+'102 8-36-9-8'!M28+'SAT 10-36-9-8'!M28+'SAT 15-36-9-8'!M28+'FAC 1-25-9-8'!M32+'SAT 9-36-9-8'!M28+'100 10-36-9-8 Water Source'!L16</f>
        <v>0</v>
      </c>
      <c r="N36" s="4">
        <f>+'FAC 7-36-9-8'!M29+'102 8-35-9-8'!N29+'102 8-36-9-8'!N28+'SAT 10-36-9-8'!N28+'SAT 15-36-9-8'!N28+'FAC 1-25-9-8'!N32+'SAT 9-36-9-8'!N28+'100 10-36-9-8 Water Source'!M16</f>
        <v>0</v>
      </c>
      <c r="O36" s="6">
        <f t="shared" si="12"/>
        <v>2045</v>
      </c>
    </row>
    <row r="37" spans="1:16" x14ac:dyDescent="0.25">
      <c r="A37" s="83" t="s">
        <v>61</v>
      </c>
      <c r="B37" s="3"/>
      <c r="C37" s="4">
        <f>+'FAC 7-36-9-8'!B30</f>
        <v>0</v>
      </c>
      <c r="D37" s="4">
        <f>+'FAC 7-36-9-8'!C30</f>
        <v>0</v>
      </c>
      <c r="E37" s="4">
        <f>+'FAC 7-36-9-8'!D30</f>
        <v>0</v>
      </c>
      <c r="F37" s="4">
        <f>+'FAC 7-36-9-8'!E30</f>
        <v>0</v>
      </c>
      <c r="G37" s="4">
        <f>+'FAC 7-36-9-8'!F30</f>
        <v>0</v>
      </c>
      <c r="H37" s="4">
        <f>+'FAC 7-36-9-8'!G30</f>
        <v>0</v>
      </c>
      <c r="I37" s="4">
        <f>+'FAC 7-36-9-8'!H30</f>
        <v>0</v>
      </c>
      <c r="J37" s="4">
        <f>+'FAC 7-36-9-8'!I30</f>
        <v>0</v>
      </c>
      <c r="K37" s="4">
        <f>+'FAC 7-36-9-8'!J30</f>
        <v>0</v>
      </c>
      <c r="L37" s="4">
        <f>+'FAC 7-36-9-8'!K30</f>
        <v>0</v>
      </c>
      <c r="M37" s="4">
        <f>+'FAC 7-36-9-8'!L30</f>
        <v>0</v>
      </c>
      <c r="N37" s="4">
        <f>+'FAC 7-36-9-8'!M30</f>
        <v>0</v>
      </c>
      <c r="O37" s="6">
        <f t="shared" si="12"/>
        <v>0</v>
      </c>
    </row>
    <row r="38" spans="1:16" x14ac:dyDescent="0.25">
      <c r="A38" s="46" t="s">
        <v>18</v>
      </c>
      <c r="B38" s="3"/>
      <c r="C38" s="4">
        <f>+'100 10-36-9-8 Water Source'!B15+'FAC 7-36-9-8'!B31+'102 8-36-9-8'!C29+'SAT 10-36-9-8'!C29+'FAC 1-25-9-8'!C33+'SAT 9-36-9-8'!C29</f>
        <v>32</v>
      </c>
      <c r="D38" s="4">
        <f>+'100 10-36-9-8 Water Source'!C15+'FAC 7-36-9-8'!C31+'102 8-36-9-8'!D29+'SAT 10-36-9-8'!D29+'FAC 1-25-9-8'!D33+'SAT 9-36-9-8'!D29</f>
        <v>0</v>
      </c>
      <c r="E38" s="4">
        <f>+'100 10-36-9-8 Water Source'!D15+'FAC 7-36-9-8'!D31+'102 8-36-9-8'!E29+'SAT 10-36-9-8'!E29+'FAC 1-25-9-8'!E33+'SAT 9-36-9-8'!E29</f>
        <v>2155.3999999999996</v>
      </c>
      <c r="F38" s="4">
        <f>+'100 10-36-9-8 Water Source'!E15+'FAC 7-36-9-8'!E31+'102 8-36-9-8'!F29+'SAT 10-36-9-8'!F29+'FAC 1-25-9-8'!F33+'SAT 9-36-9-8'!F29</f>
        <v>52.45</v>
      </c>
      <c r="G38" s="4">
        <f>+'100 10-36-9-8 Water Source'!F15+'FAC 7-36-9-8'!F31+'102 8-36-9-8'!G29+'SAT 10-36-9-8'!G29+'FAC 1-25-9-8'!G33+'SAT 9-36-9-8'!G29</f>
        <v>592.04999999999995</v>
      </c>
      <c r="H38" s="4">
        <f>+'100 10-36-9-8 Water Source'!G15+'FAC 7-36-9-8'!G31+'102 8-36-9-8'!H29+'SAT 10-36-9-8'!H29+'FAC 1-25-9-8'!H33+'SAT 9-36-9-8'!H29</f>
        <v>2424.56</v>
      </c>
      <c r="I38" s="4">
        <f>+'100 10-36-9-8 Water Source'!H15+'FAC 7-36-9-8'!H31+'102 8-36-9-8'!I29+'SAT 10-36-9-8'!I29+'FAC 1-25-9-8'!I33+'SAT 9-36-9-8'!I29</f>
        <v>0</v>
      </c>
      <c r="J38" s="4">
        <f>+'100 10-36-9-8 Water Source'!I15+'FAC 7-36-9-8'!I31+'102 8-36-9-8'!J29+'SAT 10-36-9-8'!J29+'FAC 1-25-9-8'!J33+'SAT 9-36-9-8'!J29</f>
        <v>0</v>
      </c>
      <c r="K38" s="4">
        <f>+'100 10-36-9-8 Water Source'!J15+'FAC 7-36-9-8'!J31+'102 8-36-9-8'!K29+'SAT 10-36-9-8'!K29+'FAC 1-25-9-8'!K33+'SAT 9-36-9-8'!K29</f>
        <v>0</v>
      </c>
      <c r="L38" s="4">
        <f>+'100 10-36-9-8 Water Source'!K15+'FAC 7-36-9-8'!K31+'102 8-36-9-8'!L29+'SAT 10-36-9-8'!L29+'FAC 1-25-9-8'!L33+'SAT 9-36-9-8'!L29</f>
        <v>0</v>
      </c>
      <c r="M38" s="4">
        <f>+'100 10-36-9-8 Water Source'!L15+'FAC 7-36-9-8'!L31+'102 8-36-9-8'!M29+'SAT 10-36-9-8'!M29+'FAC 1-25-9-8'!M33+'SAT 9-36-9-8'!M29</f>
        <v>0</v>
      </c>
      <c r="N38" s="4">
        <f>+'100 10-36-9-8 Water Source'!M15+'FAC 7-36-9-8'!M31+'102 8-36-9-8'!N29+'SAT 10-36-9-8'!N29+'FAC 1-25-9-8'!N33+'SAT 9-36-9-8'!N29</f>
        <v>0</v>
      </c>
      <c r="O38" s="6">
        <f t="shared" si="12"/>
        <v>5256.4599999999991</v>
      </c>
    </row>
    <row r="39" spans="1:16" x14ac:dyDescent="0.25">
      <c r="A39" s="3" t="s">
        <v>31</v>
      </c>
      <c r="B39" s="3"/>
      <c r="C39" s="4">
        <f>+'SAT 15-36-9-8'!C30</f>
        <v>0</v>
      </c>
      <c r="D39" s="4">
        <f>+'SAT 15-36-9-8'!D30</f>
        <v>0</v>
      </c>
      <c r="E39" s="4">
        <f>+'SAT 15-36-9-8'!E30</f>
        <v>249.48</v>
      </c>
      <c r="F39" s="4">
        <f>+'SAT 15-36-9-8'!F30</f>
        <v>0</v>
      </c>
      <c r="G39" s="4">
        <f>+'SAT 15-36-9-8'!G30</f>
        <v>0</v>
      </c>
      <c r="H39" s="4">
        <f>+'SAT 15-36-9-8'!H30</f>
        <v>204.75</v>
      </c>
      <c r="I39" s="4">
        <f>+'SAT 15-36-9-8'!I30</f>
        <v>0</v>
      </c>
      <c r="J39" s="4">
        <f>+'SAT 15-36-9-8'!J30</f>
        <v>0</v>
      </c>
      <c r="K39" s="4">
        <f>+'SAT 15-36-9-8'!K30</f>
        <v>0</v>
      </c>
      <c r="L39" s="4">
        <f>+'SAT 15-36-9-8'!L30</f>
        <v>0</v>
      </c>
      <c r="M39" s="4">
        <f>+'SAT 15-36-9-8'!M30</f>
        <v>0</v>
      </c>
      <c r="N39" s="4">
        <f>+'SAT 15-36-9-8'!N30</f>
        <v>0</v>
      </c>
      <c r="O39" s="6">
        <f t="shared" si="12"/>
        <v>454.23</v>
      </c>
    </row>
    <row r="40" spans="1:16" s="111" customFormat="1" x14ac:dyDescent="0.25">
      <c r="A40" s="3" t="s">
        <v>71</v>
      </c>
      <c r="B40" s="3"/>
      <c r="C40" s="4">
        <f>+'FAC 7-36-9-8'!B33+'102 8-35-9-8'!C31+'102 8-36-9-8'!C31+'SAT 10-36-9-8'!C30+'SAT 15-36-9-8'!C31+'FAC 1-25-9-8'!C35+'SAT 9-36-9-8'!C30</f>
        <v>690</v>
      </c>
      <c r="D40" s="4">
        <f>+'FAC 7-36-9-8'!C33+'102 8-35-9-8'!D31+'102 8-36-9-8'!D31+'SAT 10-36-9-8'!D30+'SAT 15-36-9-8'!D31+'FAC 1-25-9-8'!D35+'SAT 9-36-9-8'!D30</f>
        <v>150</v>
      </c>
      <c r="E40" s="4">
        <f>+'FAC 7-36-9-8'!D33+'102 8-35-9-8'!E31+'102 8-36-9-8'!E31+'SAT 10-36-9-8'!E30+'SAT 15-36-9-8'!E31+'FAC 1-25-9-8'!E35+'SAT 9-36-9-8'!E30</f>
        <v>300</v>
      </c>
      <c r="F40" s="4">
        <f>+'FAC 7-36-9-8'!E33+'102 8-35-9-8'!F31+'102 8-36-9-8'!F31+'SAT 10-36-9-8'!F30+'SAT 15-36-9-8'!F31+'FAC 1-25-9-8'!F35+'SAT 9-36-9-8'!F30</f>
        <v>1756.5</v>
      </c>
      <c r="G40" s="4">
        <f>+'FAC 7-36-9-8'!F33+'102 8-35-9-8'!G31+'102 8-36-9-8'!G31+'SAT 10-36-9-8'!G30+'SAT 15-36-9-8'!G31+'FAC 1-25-9-8'!G35+'SAT 9-36-9-8'!G30</f>
        <v>475</v>
      </c>
      <c r="H40" s="4">
        <f>+'FAC 7-36-9-8'!G33+'102 8-35-9-8'!H31+'102 8-36-9-8'!H31+'SAT 10-36-9-8'!H30+'SAT 15-36-9-8'!H31+'FAC 1-25-9-8'!H35+'SAT 9-36-9-8'!H30</f>
        <v>0</v>
      </c>
      <c r="I40" s="4">
        <f>+'FAC 7-36-9-8'!H33+'102 8-35-9-8'!I31+'102 8-36-9-8'!I31+'SAT 10-36-9-8'!I30+'SAT 15-36-9-8'!I31+'FAC 1-25-9-8'!I35+'SAT 9-36-9-8'!I30</f>
        <v>0</v>
      </c>
      <c r="J40" s="4">
        <f>+'FAC 7-36-9-8'!I33+'102 8-35-9-8'!J31+'102 8-36-9-8'!J31+'SAT 10-36-9-8'!J30+'SAT 15-36-9-8'!J31+'FAC 1-25-9-8'!J35+'SAT 9-36-9-8'!J30</f>
        <v>0</v>
      </c>
      <c r="K40" s="4">
        <f>+'FAC 7-36-9-8'!J33+'102 8-35-9-8'!K31+'102 8-36-9-8'!K31+'SAT 10-36-9-8'!K30+'SAT 15-36-9-8'!K31+'FAC 1-25-9-8'!K35+'SAT 9-36-9-8'!K30</f>
        <v>0</v>
      </c>
      <c r="L40" s="4">
        <f>+'FAC 7-36-9-8'!K33+'102 8-35-9-8'!L31+'102 8-36-9-8'!L31+'SAT 10-36-9-8'!L30+'SAT 15-36-9-8'!L31+'FAC 1-25-9-8'!L35+'SAT 9-36-9-8'!L30</f>
        <v>0</v>
      </c>
      <c r="M40" s="4">
        <f>+'FAC 7-36-9-8'!L33+'102 8-35-9-8'!M31+'102 8-36-9-8'!M31+'SAT 10-36-9-8'!M30+'SAT 15-36-9-8'!M31+'FAC 1-25-9-8'!M35+'SAT 9-36-9-8'!M30</f>
        <v>0</v>
      </c>
      <c r="N40" s="4">
        <f>+'FAC 7-36-9-8'!M33+'102 8-35-9-8'!N31+'102 8-36-9-8'!N31+'SAT 10-36-9-8'!N30+'SAT 15-36-9-8'!N31+'FAC 1-25-9-8'!N35+'SAT 9-36-9-8'!N30</f>
        <v>0</v>
      </c>
      <c r="O40" s="6">
        <f t="shared" si="12"/>
        <v>3371.5</v>
      </c>
    </row>
    <row r="41" spans="1:16" x14ac:dyDescent="0.25">
      <c r="A41" s="3" t="s">
        <v>32</v>
      </c>
      <c r="B41" s="3"/>
      <c r="C41" s="6">
        <f>+'102 8-35-9-8'!C32+'102 8-36-9-8'!C32+'SAT 10-36-9-8'!C31+'SAT 15-36-9-8'!C32+'FAC 1-25-9-8'!C36+'SAT 9-36-9-8'!C31+'100 10-36-9-8 Water Source'!B17</f>
        <v>7104.1500000000005</v>
      </c>
      <c r="D41" s="6">
        <f>+'102 8-35-9-8'!D32+'102 8-36-9-8'!D32+'SAT 10-36-9-8'!D31+'SAT 15-36-9-8'!D32+'FAC 1-25-9-8'!D36+'SAT 9-36-9-8'!D31+'100 10-36-9-8 Water Source'!C17</f>
        <v>5177.55</v>
      </c>
      <c r="E41" s="6">
        <f>+'102 8-35-9-8'!E32+'102 8-36-9-8'!E32+'SAT 10-36-9-8'!E31+'SAT 15-36-9-8'!E32+'FAC 1-25-9-8'!E36+'SAT 9-36-9-8'!E31+'100 10-36-9-8 Water Source'!D17</f>
        <v>5151.7</v>
      </c>
      <c r="F41" s="6">
        <f>+'102 8-35-9-8'!F32+'102 8-36-9-8'!F32+'SAT 10-36-9-8'!F31+'SAT 15-36-9-8'!F32+'FAC 1-25-9-8'!F36+'SAT 9-36-9-8'!F31+'100 10-36-9-8 Water Source'!E17</f>
        <v>5159</v>
      </c>
      <c r="G41" s="6">
        <f>+'102 8-35-9-8'!G32+'102 8-36-9-8'!G32+'SAT 10-36-9-8'!G31+'SAT 15-36-9-8'!G32+'FAC 1-25-9-8'!G36+'SAT 9-36-9-8'!G31+'100 10-36-9-8 Water Source'!F17</f>
        <v>7099.1</v>
      </c>
      <c r="H41" s="6">
        <f>+'102 8-35-9-8'!H32+'102 8-36-9-8'!H32+'SAT 10-36-9-8'!H31+'SAT 15-36-9-8'!H32+'FAC 1-25-9-8'!H36+'SAT 9-36-9-8'!H31+'100 10-36-9-8 Water Source'!G17</f>
        <v>9745.93</v>
      </c>
      <c r="I41" s="6">
        <f>+'102 8-35-9-8'!I32+'102 8-36-9-8'!I32+'SAT 10-36-9-8'!I31+'SAT 15-36-9-8'!I32+'FAC 1-25-9-8'!I36+'SAT 9-36-9-8'!I31+'100 10-36-9-8 Water Source'!H17</f>
        <v>0</v>
      </c>
      <c r="J41" s="6">
        <f>+'102 8-35-9-8'!J32+'102 8-36-9-8'!J32+'SAT 10-36-9-8'!J31+'SAT 15-36-9-8'!J32+'FAC 1-25-9-8'!J36+'SAT 9-36-9-8'!J31+'100 10-36-9-8 Water Source'!I17</f>
        <v>0</v>
      </c>
      <c r="K41" s="6">
        <f>+'102 8-35-9-8'!K32+'102 8-36-9-8'!K32+'SAT 10-36-9-8'!K31+'SAT 15-36-9-8'!K32+'FAC 1-25-9-8'!K36+'SAT 9-36-9-8'!K31+'100 10-36-9-8 Water Source'!J17</f>
        <v>0</v>
      </c>
      <c r="L41" s="6">
        <f>+'102 8-35-9-8'!L32+'102 8-36-9-8'!L32+'SAT 10-36-9-8'!L31+'SAT 15-36-9-8'!L32+'FAC 1-25-9-8'!L36+'SAT 9-36-9-8'!L31+'100 10-36-9-8 Water Source'!K17</f>
        <v>0</v>
      </c>
      <c r="M41" s="6">
        <f>+'102 8-35-9-8'!M32+'102 8-36-9-8'!M32+'SAT 10-36-9-8'!M31+'SAT 15-36-9-8'!M32+'FAC 1-25-9-8'!M36+'SAT 9-36-9-8'!M31+'100 10-36-9-8 Water Source'!L17</f>
        <v>0</v>
      </c>
      <c r="N41" s="6">
        <f>+'102 8-35-9-8'!N32+'102 8-36-9-8'!N32+'SAT 10-36-9-8'!N31+'SAT 15-36-9-8'!N32+'FAC 1-25-9-8'!N36+'SAT 9-36-9-8'!N31+'100 10-36-9-8 Water Source'!M17</f>
        <v>0</v>
      </c>
      <c r="O41" s="6">
        <f t="shared" si="12"/>
        <v>39437.43</v>
      </c>
    </row>
    <row r="42" spans="1:16" s="111" customFormat="1" x14ac:dyDescent="0.25">
      <c r="A42" s="3" t="s">
        <v>79</v>
      </c>
      <c r="B42" s="3"/>
      <c r="C42" s="6">
        <f>+'100 10-36-9-8 Water Source'!B18+'FAC 7-36-9-8'!B35+'102 8-35-9-8'!C33+'SAT 15-36-9-8'!C33</f>
        <v>16171.38</v>
      </c>
      <c r="D42" s="6">
        <f>+'100 10-36-9-8 Water Source'!C18+'FAC 7-36-9-8'!C35+'102 8-35-9-8'!D33+'SAT 15-36-9-8'!D33</f>
        <v>0</v>
      </c>
      <c r="E42" s="6">
        <f>+'100 10-36-9-8 Water Source'!D18+'FAC 7-36-9-8'!D35+'102 8-35-9-8'!E33+'SAT 15-36-9-8'!E33</f>
        <v>0</v>
      </c>
      <c r="F42" s="6">
        <f>+'100 10-36-9-8 Water Source'!E18+'FAC 7-36-9-8'!E35+'102 8-35-9-8'!F33+'SAT 15-36-9-8'!F33</f>
        <v>0</v>
      </c>
      <c r="G42" s="6">
        <f>+'100 10-36-9-8 Water Source'!F18+'FAC 7-36-9-8'!F35+'102 8-35-9-8'!G33+'SAT 15-36-9-8'!G33</f>
        <v>69899.62</v>
      </c>
      <c r="H42" s="6">
        <f>+'100 10-36-9-8 Water Source'!G18+'FAC 7-36-9-8'!G35+'102 8-35-9-8'!H33+'SAT 15-36-9-8'!H33</f>
        <v>12682.5</v>
      </c>
      <c r="I42" s="6">
        <f>+'100 10-36-9-8 Water Source'!H18+'FAC 7-36-9-8'!H35+'102 8-35-9-8'!I33+'SAT 15-36-9-8'!I33</f>
        <v>0</v>
      </c>
      <c r="J42" s="6">
        <f>+'100 10-36-9-8 Water Source'!I18+'FAC 7-36-9-8'!I35+'102 8-35-9-8'!J33+'SAT 15-36-9-8'!J33</f>
        <v>0</v>
      </c>
      <c r="K42" s="6">
        <f>+'100 10-36-9-8 Water Source'!J18+'FAC 7-36-9-8'!J35+'102 8-35-9-8'!K33+'SAT 15-36-9-8'!K33</f>
        <v>0</v>
      </c>
      <c r="L42" s="6">
        <f>+'100 10-36-9-8 Water Source'!K18+'FAC 7-36-9-8'!K35+'102 8-35-9-8'!L33+'SAT 15-36-9-8'!L33</f>
        <v>0</v>
      </c>
      <c r="M42" s="6">
        <f>+'100 10-36-9-8 Water Source'!L18+'FAC 7-36-9-8'!L35+'102 8-35-9-8'!M33+'SAT 15-36-9-8'!M33</f>
        <v>0</v>
      </c>
      <c r="N42" s="6">
        <f>+'100 10-36-9-8 Water Source'!M18+'FAC 7-36-9-8'!M35+'102 8-35-9-8'!N33+'SAT 15-36-9-8'!N33</f>
        <v>0</v>
      </c>
      <c r="O42" s="6">
        <f t="shared" si="12"/>
        <v>98753.5</v>
      </c>
    </row>
    <row r="43" spans="1:16" x14ac:dyDescent="0.25">
      <c r="A43" s="3" t="s">
        <v>14</v>
      </c>
      <c r="B43" s="3"/>
      <c r="C43" s="5">
        <f>+C21+C22+C24+C25+C26+C27+C32+C33+C35+C36+C37+C38+C39+C41+C42+C40</f>
        <v>46546.6</v>
      </c>
      <c r="D43" s="5">
        <f t="shared" ref="D43:N43" si="15">+D21+D22+D24+D25+D26+D27+D32+D33+D35+D36+D37+D38+D39+D41+D42+D40</f>
        <v>34431.26</v>
      </c>
      <c r="E43" s="5">
        <f t="shared" si="15"/>
        <v>43895.623</v>
      </c>
      <c r="F43" s="5">
        <f t="shared" si="15"/>
        <v>33068.86</v>
      </c>
      <c r="G43" s="5">
        <f t="shared" si="15"/>
        <v>116136.01000000001</v>
      </c>
      <c r="H43" s="5">
        <f t="shared" si="15"/>
        <v>62156.46</v>
      </c>
      <c r="I43" s="5">
        <f t="shared" si="15"/>
        <v>0</v>
      </c>
      <c r="J43" s="5">
        <f t="shared" si="15"/>
        <v>0</v>
      </c>
      <c r="K43" s="5">
        <f t="shared" si="15"/>
        <v>0</v>
      </c>
      <c r="L43" s="5">
        <f t="shared" si="15"/>
        <v>0</v>
      </c>
      <c r="M43" s="5">
        <f t="shared" si="15"/>
        <v>0</v>
      </c>
      <c r="N43" s="5">
        <f t="shared" si="15"/>
        <v>0</v>
      </c>
      <c r="O43" s="96">
        <f t="shared" si="12"/>
        <v>336234.81300000002</v>
      </c>
      <c r="P43" s="94"/>
    </row>
    <row r="44" spans="1:16" x14ac:dyDescent="0.25">
      <c r="A44" s="3" t="s">
        <v>15</v>
      </c>
      <c r="B44" s="3"/>
      <c r="C44" s="5">
        <f t="shared" ref="C44:L44" si="16">C43</f>
        <v>46546.6</v>
      </c>
      <c r="D44" s="5">
        <f t="shared" ref="D44:N44" si="17">D43</f>
        <v>34431.26</v>
      </c>
      <c r="E44" s="5">
        <f t="shared" si="17"/>
        <v>43895.623</v>
      </c>
      <c r="F44" s="5">
        <f t="shared" si="17"/>
        <v>33068.86</v>
      </c>
      <c r="G44" s="5">
        <f t="shared" si="17"/>
        <v>116136.01000000001</v>
      </c>
      <c r="H44" s="5">
        <f t="shared" si="17"/>
        <v>62156.46</v>
      </c>
      <c r="I44" s="5">
        <f t="shared" si="17"/>
        <v>0</v>
      </c>
      <c r="J44" s="5">
        <f t="shared" si="17"/>
        <v>0</v>
      </c>
      <c r="K44" s="5">
        <f t="shared" si="17"/>
        <v>0</v>
      </c>
      <c r="L44" s="5">
        <f t="shared" si="17"/>
        <v>0</v>
      </c>
      <c r="M44" s="5">
        <f t="shared" si="17"/>
        <v>0</v>
      </c>
      <c r="N44" s="5">
        <f t="shared" si="17"/>
        <v>0</v>
      </c>
      <c r="O44" s="96">
        <f t="shared" si="12"/>
        <v>336234.81300000002</v>
      </c>
    </row>
    <row r="45" spans="1:16" x14ac:dyDescent="0.25">
      <c r="A45" s="3" t="s">
        <v>16</v>
      </c>
      <c r="B45" s="3"/>
      <c r="C45" s="5">
        <f t="shared" ref="C45:L45" si="18">(((C18)-(C44))+(0))-(0)</f>
        <v>37211.219999999994</v>
      </c>
      <c r="D45" s="5">
        <f t="shared" ref="D45:N45" si="19">(((D18)-(D44))+(0))-(0)</f>
        <v>31113.18</v>
      </c>
      <c r="E45" s="5">
        <f t="shared" si="19"/>
        <v>29056.576999999983</v>
      </c>
      <c r="F45" s="5">
        <f t="shared" si="19"/>
        <v>64419.390000000014</v>
      </c>
      <c r="G45" s="5">
        <f t="shared" si="19"/>
        <v>-17765.910000000018</v>
      </c>
      <c r="H45" s="5">
        <f t="shared" si="19"/>
        <v>-9907.9099999999962</v>
      </c>
      <c r="I45" s="5">
        <f t="shared" si="19"/>
        <v>0</v>
      </c>
      <c r="J45" s="5">
        <f t="shared" si="19"/>
        <v>0</v>
      </c>
      <c r="K45" s="5">
        <f t="shared" si="19"/>
        <v>0</v>
      </c>
      <c r="L45" s="5">
        <f t="shared" si="19"/>
        <v>0</v>
      </c>
      <c r="M45" s="5">
        <f t="shared" si="19"/>
        <v>0</v>
      </c>
      <c r="N45" s="5">
        <f t="shared" si="19"/>
        <v>0</v>
      </c>
      <c r="O45" s="97">
        <f t="shared" si="12"/>
        <v>134126.54699999999</v>
      </c>
      <c r="P45" s="12"/>
    </row>
    <row r="46" spans="1:16" x14ac:dyDescent="0.25">
      <c r="A46" s="3"/>
      <c r="B46" s="3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6" x14ac:dyDescent="0.25">
      <c r="A47" s="13" t="s">
        <v>43</v>
      </c>
      <c r="B47" s="13"/>
      <c r="C47" s="14"/>
      <c r="D47" s="14"/>
      <c r="E47" s="14"/>
      <c r="F47" s="14"/>
      <c r="G47" s="14"/>
      <c r="H47" s="15"/>
      <c r="I47" s="15"/>
      <c r="J47" s="15"/>
      <c r="K47" s="15"/>
      <c r="L47" s="15"/>
      <c r="M47" s="15"/>
      <c r="N47" s="15"/>
      <c r="O47" s="36"/>
    </row>
    <row r="48" spans="1:16" x14ac:dyDescent="0.25">
      <c r="A48" s="16" t="s">
        <v>44</v>
      </c>
      <c r="B48" s="17" t="s">
        <v>45</v>
      </c>
      <c r="C48" s="18">
        <f>C54/C52</f>
        <v>1922.0866574965612</v>
      </c>
      <c r="D48" s="18">
        <f>D54/D52</f>
        <v>1131.4592873127904</v>
      </c>
      <c r="E48" s="18">
        <f t="shared" ref="E48:H48" si="20">E54/E52</f>
        <v>1162.206436656046</v>
      </c>
      <c r="F48" s="18">
        <f t="shared" si="20"/>
        <v>1424.4585728686304</v>
      </c>
      <c r="G48" s="18">
        <f t="shared" si="20"/>
        <v>1426.3450831610969</v>
      </c>
      <c r="H48" s="18">
        <f t="shared" si="20"/>
        <v>977.79672318536871</v>
      </c>
      <c r="I48" s="18"/>
      <c r="J48" s="18"/>
      <c r="K48" s="18"/>
      <c r="L48" s="18"/>
      <c r="M48" s="18"/>
      <c r="N48" s="18"/>
      <c r="O48" s="37">
        <f>SUM(C48:N48)</f>
        <v>8044.3527606804946</v>
      </c>
    </row>
    <row r="49" spans="1:15" x14ac:dyDescent="0.25">
      <c r="A49" s="19"/>
      <c r="B49" s="20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36"/>
    </row>
    <row r="50" spans="1:15" x14ac:dyDescent="0.25">
      <c r="A50" s="16" t="s">
        <v>59</v>
      </c>
      <c r="B50" s="17" t="s">
        <v>46</v>
      </c>
      <c r="C50" s="18">
        <f>+'102 8-35-9-8'!C41+'102 8-36-9-8'!C40+'SAT 10-36-9-8'!C39+'SAT 15-36-9-8'!C41+'FAC 1-25-9-8'!C44+'SAT 9-36-9-8'!C39</f>
        <v>57.663445405456613</v>
      </c>
      <c r="D50" s="18">
        <f>+'102 8-35-9-8'!D41+'102 8-36-9-8'!D40+'SAT 10-36-9-8'!D39+'SAT 15-36-9-8'!D41+'FAC 1-25-9-8'!D44+'SAT 9-36-9-8'!D39</f>
        <v>54.317494047619036</v>
      </c>
      <c r="E50" s="18">
        <f>+'102 8-35-9-8'!E41+'102 8-36-9-8'!E40+'SAT 10-36-9-8'!E39+'SAT 15-36-9-8'!E41+'FAC 1-25-9-8'!E44+'SAT 9-36-9-8'!E39</f>
        <v>45.280568965517233</v>
      </c>
      <c r="F50" s="18">
        <f>+'102 8-35-9-8'!F41+'102 8-36-9-8'!F40+'SAT 10-36-9-8'!F39+'SAT 15-36-9-8'!F41+'FAC 1-25-9-8'!F44+'SAT 9-36-9-8'!F39</f>
        <v>54.41068620689655</v>
      </c>
      <c r="G50" s="18">
        <f>+'102 8-35-9-8'!G41+'102 8-36-9-8'!G40+'SAT 10-36-9-8'!G39+'SAT 15-36-9-8'!G41+'FAC 1-25-9-8'!G44+'SAT 9-36-9-8'!G39</f>
        <v>55.86699999999999</v>
      </c>
      <c r="H50" s="18">
        <f>+'102 8-35-9-8'!H41+'102 8-36-9-8'!H40+'SAT 10-36-9-8'!H39+'SAT 15-36-9-8'!H41+'FAC 1-25-9-8'!H44+'SAT 9-36-9-8'!H39</f>
        <v>55.548231772575257</v>
      </c>
      <c r="I50" s="18"/>
      <c r="J50" s="18"/>
      <c r="K50" s="18"/>
      <c r="L50" s="18"/>
      <c r="M50" s="18"/>
      <c r="N50" s="18"/>
      <c r="O50" s="37">
        <f>SUM(C50:N50)/6</f>
        <v>53.847904399677446</v>
      </c>
    </row>
    <row r="51" spans="1:15" x14ac:dyDescent="0.25">
      <c r="A51" s="19"/>
      <c r="B51" s="13"/>
      <c r="C51" s="22"/>
      <c r="D51" s="22"/>
      <c r="E51" s="22"/>
      <c r="F51" s="22"/>
      <c r="G51" s="22"/>
      <c r="H51" s="22"/>
      <c r="I51" s="15"/>
      <c r="J51" s="15"/>
      <c r="K51" s="15"/>
      <c r="L51" s="15"/>
      <c r="M51" s="15"/>
      <c r="N51" s="15"/>
      <c r="O51" s="38"/>
    </row>
    <row r="52" spans="1:15" x14ac:dyDescent="0.25">
      <c r="A52" s="16" t="s">
        <v>44</v>
      </c>
      <c r="B52" s="17" t="s">
        <v>47</v>
      </c>
      <c r="C52" s="21">
        <f>+'102 8-35-9-8'!C43</f>
        <v>43.62</v>
      </c>
      <c r="D52" s="21">
        <f>+'102 8-35-9-8'!D43</f>
        <v>58.09</v>
      </c>
      <c r="E52" s="21">
        <f>+'102 8-35-9-8'!E43</f>
        <v>62.881221179837809</v>
      </c>
      <c r="F52" s="21">
        <f>+'102 8-35-9-8'!F43</f>
        <v>68.616632214978537</v>
      </c>
      <c r="G52" s="21">
        <f>+'102 8-35-9-8'!G43</f>
        <v>68.470345046907298</v>
      </c>
      <c r="H52" s="21">
        <f>+'102 8-35-9-8'!H43</f>
        <v>52.49</v>
      </c>
      <c r="I52" s="21"/>
      <c r="J52" s="21"/>
      <c r="K52" s="21"/>
      <c r="L52" s="21"/>
      <c r="M52" s="21"/>
      <c r="N52" s="21"/>
      <c r="O52" s="37">
        <f>SUM(C52:N52)/6</f>
        <v>59.028033073620612</v>
      </c>
    </row>
    <row r="53" spans="1:15" x14ac:dyDescent="0.25">
      <c r="A53" s="19"/>
      <c r="B53" s="13"/>
      <c r="C53" s="26"/>
      <c r="D53" s="26"/>
      <c r="E53" s="26"/>
      <c r="F53" s="26"/>
      <c r="G53" s="26"/>
      <c r="H53" s="26"/>
      <c r="O53" s="39"/>
    </row>
    <row r="54" spans="1:15" x14ac:dyDescent="0.25">
      <c r="A54" s="16" t="s">
        <v>48</v>
      </c>
      <c r="B54" s="17" t="s">
        <v>49</v>
      </c>
      <c r="C54" s="28">
        <f t="shared" ref="C54:D54" si="21">+C11</f>
        <v>83841.42</v>
      </c>
      <c r="D54" s="28">
        <f t="shared" si="21"/>
        <v>65726.47</v>
      </c>
      <c r="E54" s="28">
        <f t="shared" ref="E54:H54" si="22">+E11</f>
        <v>73080.959999999992</v>
      </c>
      <c r="F54" s="28">
        <f t="shared" si="22"/>
        <v>97741.550000000017</v>
      </c>
      <c r="G54" s="28">
        <f t="shared" si="22"/>
        <v>97662.34</v>
      </c>
      <c r="H54" s="28">
        <f t="shared" si="22"/>
        <v>51324.55</v>
      </c>
      <c r="I54" s="28"/>
      <c r="J54" s="28"/>
      <c r="K54" s="28"/>
      <c r="L54" s="28"/>
      <c r="M54" s="28"/>
      <c r="N54" s="28"/>
      <c r="O54" s="92">
        <f>SUM(C54:N54)</f>
        <v>469377.29</v>
      </c>
    </row>
    <row r="55" spans="1:15" x14ac:dyDescent="0.25">
      <c r="A55" s="16" t="s">
        <v>50</v>
      </c>
      <c r="B55" s="17" t="s">
        <v>49</v>
      </c>
      <c r="C55" s="28">
        <f t="shared" ref="C55:D55" si="23">+C15</f>
        <v>-171.6</v>
      </c>
      <c r="D55" s="28">
        <f t="shared" si="23"/>
        <v>-182.03</v>
      </c>
      <c r="E55" s="28">
        <f t="shared" ref="E55:H55" si="24">+E15</f>
        <v>-290.45999999999998</v>
      </c>
      <c r="F55" s="28">
        <f t="shared" si="24"/>
        <v>-253.3</v>
      </c>
      <c r="G55" s="28">
        <f t="shared" si="24"/>
        <v>-216.24</v>
      </c>
      <c r="H55" s="28">
        <f t="shared" si="24"/>
        <v>0</v>
      </c>
      <c r="I55" s="28"/>
      <c r="J55" s="28"/>
      <c r="K55" s="28"/>
      <c r="L55" s="28"/>
      <c r="M55" s="28"/>
      <c r="N55" s="28"/>
      <c r="O55" s="92">
        <f t="shared" ref="O55:O56" si="25">SUM(C55:N55)</f>
        <v>-1113.6299999999999</v>
      </c>
    </row>
    <row r="56" spans="1:15" x14ac:dyDescent="0.25">
      <c r="A56" s="16" t="s">
        <v>51</v>
      </c>
      <c r="B56" s="17" t="s">
        <v>49</v>
      </c>
      <c r="C56" s="28">
        <f>+C43</f>
        <v>46546.6</v>
      </c>
      <c r="D56" s="28">
        <f>+D43</f>
        <v>34431.26</v>
      </c>
      <c r="E56" s="28">
        <f t="shared" ref="E56:H56" si="26">+E43</f>
        <v>43895.623</v>
      </c>
      <c r="F56" s="28">
        <f t="shared" si="26"/>
        <v>33068.86</v>
      </c>
      <c r="G56" s="28">
        <f t="shared" si="26"/>
        <v>116136.01000000001</v>
      </c>
      <c r="H56" s="28">
        <f t="shared" si="26"/>
        <v>62156.46</v>
      </c>
      <c r="I56" s="28"/>
      <c r="J56" s="28"/>
      <c r="K56" s="28"/>
      <c r="L56" s="28"/>
      <c r="M56" s="28"/>
      <c r="N56" s="28"/>
      <c r="O56" s="92">
        <f t="shared" si="25"/>
        <v>336234.81300000002</v>
      </c>
    </row>
    <row r="57" spans="1:15" x14ac:dyDescent="0.25">
      <c r="A57" s="19" t="s">
        <v>48</v>
      </c>
      <c r="B57" s="20" t="s">
        <v>47</v>
      </c>
      <c r="C57" s="29">
        <f>+C54/C48</f>
        <v>43.62</v>
      </c>
      <c r="D57" s="29">
        <f>+D54/D48</f>
        <v>58.090000000000011</v>
      </c>
      <c r="E57" s="29">
        <f t="shared" ref="E57:H57" si="27">+E54/E48</f>
        <v>62.881221179837816</v>
      </c>
      <c r="F57" s="29">
        <f t="shared" si="27"/>
        <v>68.616632214978537</v>
      </c>
      <c r="G57" s="29">
        <f t="shared" si="27"/>
        <v>68.470345046907298</v>
      </c>
      <c r="H57" s="29">
        <f t="shared" si="27"/>
        <v>52.49</v>
      </c>
      <c r="I57" s="29"/>
      <c r="J57" s="29"/>
      <c r="K57" s="29"/>
      <c r="L57" s="29"/>
      <c r="M57" s="29"/>
      <c r="N57" s="29"/>
      <c r="O57" s="40">
        <f>SUM(C57:N57)/6</f>
        <v>59.028033073620612</v>
      </c>
    </row>
    <row r="58" spans="1:15" x14ac:dyDescent="0.25">
      <c r="A58" s="16" t="s">
        <v>50</v>
      </c>
      <c r="B58" s="17" t="s">
        <v>47</v>
      </c>
      <c r="C58" s="30">
        <f>+C55/C48</f>
        <v>-8.9277972629757466E-2</v>
      </c>
      <c r="D58" s="30">
        <f>+D55/D48</f>
        <v>-0.16088073343966292</v>
      </c>
      <c r="E58" s="30">
        <f t="shared" ref="E58:H58" si="28">+E55/E48</f>
        <v>-0.24992117651294798</v>
      </c>
      <c r="F58" s="30">
        <f t="shared" si="28"/>
        <v>-0.17782194921253103</v>
      </c>
      <c r="G58" s="30">
        <f t="shared" si="28"/>
        <v>-0.15160426642391772</v>
      </c>
      <c r="H58" s="30">
        <f t="shared" si="28"/>
        <v>0</v>
      </c>
      <c r="I58" s="30"/>
      <c r="J58" s="30"/>
      <c r="K58" s="30"/>
      <c r="L58" s="30"/>
      <c r="M58" s="30"/>
      <c r="N58" s="30"/>
      <c r="O58" s="41">
        <f>SUM(C58:N58)/6</f>
        <v>-0.13825101636980286</v>
      </c>
    </row>
    <row r="59" spans="1:15" x14ac:dyDescent="0.25">
      <c r="A59" s="16" t="s">
        <v>51</v>
      </c>
      <c r="B59" s="17" t="s">
        <v>47</v>
      </c>
      <c r="C59" s="30">
        <f>+C56/C48</f>
        <v>24.216702102612288</v>
      </c>
      <c r="D59" s="30">
        <f>+D56/D48</f>
        <v>30.43084305912063</v>
      </c>
      <c r="E59" s="30">
        <f t="shared" ref="E59:H59" si="29">+E56/E48</f>
        <v>37.769213468046615</v>
      </c>
      <c r="F59" s="30">
        <f t="shared" si="29"/>
        <v>23.215038071205285</v>
      </c>
      <c r="G59" s="30">
        <f t="shared" si="29"/>
        <v>81.422098600863734</v>
      </c>
      <c r="H59" s="30">
        <f t="shared" si="29"/>
        <v>63.567875127984557</v>
      </c>
      <c r="I59" s="30"/>
      <c r="J59" s="30"/>
      <c r="K59" s="30"/>
      <c r="L59" s="30"/>
      <c r="M59" s="30"/>
      <c r="N59" s="30"/>
      <c r="O59" s="41">
        <f>SUM(C59:N59)/6</f>
        <v>43.43696173830552</v>
      </c>
    </row>
    <row r="60" spans="1:15" x14ac:dyDescent="0.25">
      <c r="A60" s="19" t="s">
        <v>52</v>
      </c>
      <c r="B60" s="20" t="s">
        <v>47</v>
      </c>
      <c r="C60" s="29">
        <f>+C57-C58-C59</f>
        <v>19.492575870017468</v>
      </c>
      <c r="D60" s="29">
        <f>+D57-D58-D59</f>
        <v>27.820037674319043</v>
      </c>
      <c r="E60" s="29">
        <f t="shared" ref="E60:H60" si="30">+E57-E58-E59</f>
        <v>25.361928888304149</v>
      </c>
      <c r="F60" s="29">
        <f t="shared" si="30"/>
        <v>45.579416092985781</v>
      </c>
      <c r="G60" s="29">
        <f t="shared" si="30"/>
        <v>-12.80014928753252</v>
      </c>
      <c r="H60" s="29">
        <f t="shared" si="30"/>
        <v>-11.077875127984555</v>
      </c>
      <c r="I60" s="29"/>
      <c r="J60" s="29"/>
      <c r="K60" s="29"/>
      <c r="L60" s="29"/>
      <c r="M60" s="29"/>
      <c r="N60" s="29"/>
      <c r="O60" s="40">
        <f>SUM(C60:N60)/6</f>
        <v>15.729322351684894</v>
      </c>
    </row>
    <row r="61" spans="1:15" x14ac:dyDescent="0.25">
      <c r="A61" s="19" t="s">
        <v>53</v>
      </c>
      <c r="B61" s="31" t="s">
        <v>54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/>
      <c r="J61" s="29"/>
      <c r="K61" s="29"/>
      <c r="L61" s="29"/>
      <c r="M61" s="29"/>
      <c r="N61" s="29"/>
      <c r="O61" s="40">
        <f>SUM(C61:N61)/6</f>
        <v>0</v>
      </c>
    </row>
    <row r="62" spans="1:15" x14ac:dyDescent="0.25">
      <c r="A62" s="16" t="s">
        <v>55</v>
      </c>
      <c r="B62" s="32" t="s">
        <v>54</v>
      </c>
      <c r="C62" s="30">
        <v>0</v>
      </c>
      <c r="D62" s="30">
        <v>0</v>
      </c>
      <c r="E62" s="30">
        <v>0</v>
      </c>
      <c r="F62" s="30">
        <v>0</v>
      </c>
      <c r="G62" s="30">
        <v>0</v>
      </c>
      <c r="H62" s="30">
        <v>0</v>
      </c>
      <c r="I62" s="30"/>
      <c r="J62" s="30"/>
      <c r="K62" s="30"/>
      <c r="L62" s="30"/>
      <c r="M62" s="30"/>
      <c r="N62" s="30"/>
      <c r="O62" s="42">
        <f>SUM(C62:N62)/6</f>
        <v>0</v>
      </c>
    </row>
    <row r="63" spans="1:15" x14ac:dyDescent="0.25">
      <c r="A63" s="19" t="s">
        <v>56</v>
      </c>
      <c r="B63" s="31" t="s">
        <v>54</v>
      </c>
      <c r="C63" s="29">
        <f>+C55/C54*100</f>
        <v>-0.20467210598293781</v>
      </c>
      <c r="D63" s="29">
        <f>+D55/D54*100</f>
        <v>-0.27695082361794265</v>
      </c>
      <c r="E63" s="29">
        <f t="shared" ref="E63:H63" si="31">+E55/E54*100</f>
        <v>-0.39744962299345821</v>
      </c>
      <c r="F63" s="29">
        <f t="shared" si="31"/>
        <v>-0.25915283725293897</v>
      </c>
      <c r="G63" s="29">
        <f t="shared" si="31"/>
        <v>-0.22141595214695861</v>
      </c>
      <c r="H63" s="29">
        <f t="shared" si="31"/>
        <v>0</v>
      </c>
      <c r="I63" s="29"/>
      <c r="J63" s="29"/>
      <c r="K63" s="29"/>
      <c r="L63" s="29"/>
      <c r="M63" s="29"/>
      <c r="N63" s="29"/>
      <c r="O63" s="40">
        <f>SUM(C63:N63)/6</f>
        <v>-0.22660689033237269</v>
      </c>
    </row>
    <row r="64" spans="1:15" x14ac:dyDescent="0.25">
      <c r="A64" s="16" t="s">
        <v>57</v>
      </c>
      <c r="B64" s="32" t="s">
        <v>54</v>
      </c>
      <c r="C64" s="30">
        <f>C56/C54*100</f>
        <v>55.517428020660908</v>
      </c>
      <c r="D64" s="30">
        <f>D56/D54*100</f>
        <v>52.385682663316622</v>
      </c>
      <c r="E64" s="30">
        <f t="shared" ref="E64:H64" si="32">E56/E54*100</f>
        <v>60.064376548967068</v>
      </c>
      <c r="F64" s="30">
        <f t="shared" si="32"/>
        <v>33.832960496329342</v>
      </c>
      <c r="G64" s="30">
        <f t="shared" si="32"/>
        <v>118.91585845680129</v>
      </c>
      <c r="H64" s="30">
        <f t="shared" si="32"/>
        <v>121.10473447891894</v>
      </c>
      <c r="I64" s="30"/>
      <c r="J64" s="30"/>
      <c r="K64" s="30"/>
      <c r="L64" s="30"/>
      <c r="M64" s="30"/>
      <c r="N64" s="30"/>
      <c r="O64" s="41">
        <f>SUM(C64:N64)/6</f>
        <v>73.636840110832367</v>
      </c>
    </row>
    <row r="65" spans="1:15" x14ac:dyDescent="0.25">
      <c r="A65" s="33" t="s">
        <v>58</v>
      </c>
      <c r="B65" s="34" t="s">
        <v>54</v>
      </c>
      <c r="C65" s="35">
        <f>C56/(C54+C55)*100</f>
        <v>55.631289752983818</v>
      </c>
      <c r="D65" s="35">
        <f>D56/(D54+D55)*100</f>
        <v>52.531168166209063</v>
      </c>
      <c r="E65" s="35">
        <f t="shared" ref="E65:H65" si="33">E56/(E54+E55)*100</f>
        <v>60.304054787369246</v>
      </c>
      <c r="F65" s="35">
        <f t="shared" si="33"/>
        <v>33.920867386582479</v>
      </c>
      <c r="G65" s="35">
        <f t="shared" si="33"/>
        <v>119.17974141602386</v>
      </c>
      <c r="H65" s="35">
        <f t="shared" si="33"/>
        <v>121.10473447891894</v>
      </c>
      <c r="I65" s="35"/>
      <c r="J65" s="35"/>
      <c r="K65" s="35"/>
      <c r="L65" s="35"/>
      <c r="M65" s="35"/>
      <c r="N65" s="35"/>
      <c r="O65" s="42">
        <f>SUM(C65:N65)/6</f>
        <v>73.778642664681243</v>
      </c>
    </row>
  </sheetData>
  <mergeCells count="3">
    <mergeCell ref="A1:O1"/>
    <mergeCell ref="A2:O2"/>
    <mergeCell ref="A3:O3"/>
  </mergeCells>
  <printOptions horizontalCentered="1"/>
  <pageMargins left="0.23622047244094491" right="0.23622047244094491" top="0.74803149606299213" bottom="0.74803149606299213" header="0.31496062992125984" footer="0.31496062992125984"/>
  <pageSetup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5"/>
  <sheetViews>
    <sheetView topLeftCell="A13" workbookViewId="0">
      <selection activeCell="F18" sqref="F18"/>
    </sheetView>
  </sheetViews>
  <sheetFormatPr defaultRowHeight="15" x14ac:dyDescent="0.25"/>
  <cols>
    <col min="1" max="1" width="30.140625" customWidth="1"/>
    <col min="2" max="4" width="10.28515625" customWidth="1"/>
    <col min="5" max="5" width="9.28515625" bestFit="1" customWidth="1"/>
    <col min="6" max="6" width="10.140625" bestFit="1" customWidth="1"/>
    <col min="7" max="9" width="9.28515625" bestFit="1" customWidth="1"/>
    <col min="10" max="13" width="9.28515625" customWidth="1"/>
    <col min="14" max="14" width="10.28515625" customWidth="1"/>
  </cols>
  <sheetData>
    <row r="1" spans="1:14" ht="18" x14ac:dyDescent="0.25">
      <c r="A1" s="114" t="s">
        <v>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</row>
    <row r="2" spans="1:14" ht="18" x14ac:dyDescent="0.25">
      <c r="A2" s="114" t="s">
        <v>19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</row>
    <row r="3" spans="1:14" x14ac:dyDescent="0.25">
      <c r="A3" s="116" t="str">
        <f>+'100 5-30-9-7 '!A3:N3</f>
        <v xml:space="preserve">January 2019 - 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</row>
    <row r="5" spans="1:14" x14ac:dyDescent="0.25">
      <c r="A5" s="1"/>
      <c r="B5" s="109">
        <v>43466</v>
      </c>
      <c r="C5" s="109">
        <v>43514</v>
      </c>
      <c r="D5" s="109">
        <v>43542</v>
      </c>
      <c r="E5" s="109">
        <v>43573</v>
      </c>
      <c r="F5" s="109">
        <v>43603</v>
      </c>
      <c r="G5" s="109">
        <v>43634</v>
      </c>
      <c r="H5" s="109">
        <v>43664</v>
      </c>
      <c r="I5" s="109">
        <v>43695</v>
      </c>
      <c r="J5" s="109">
        <v>43726</v>
      </c>
      <c r="K5" s="109">
        <v>43756</v>
      </c>
      <c r="L5" s="109">
        <v>43787</v>
      </c>
      <c r="M5" s="109">
        <v>43817</v>
      </c>
      <c r="N5" s="2" t="s">
        <v>2</v>
      </c>
    </row>
    <row r="6" spans="1:14" x14ac:dyDescent="0.25">
      <c r="A6" s="3" t="s">
        <v>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77"/>
    </row>
    <row r="7" spans="1:14" x14ac:dyDescent="0.25">
      <c r="A7" s="3" t="s">
        <v>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12"/>
    </row>
    <row r="8" spans="1:14" x14ac:dyDescent="0.25">
      <c r="A8" s="3" t="s">
        <v>5</v>
      </c>
      <c r="B8" s="5">
        <f t="shared" ref="B8:M8" si="0">(B7)-(0)</f>
        <v>0</v>
      </c>
      <c r="C8" s="5">
        <f t="shared" si="0"/>
        <v>0</v>
      </c>
      <c r="D8" s="5">
        <f t="shared" si="0"/>
        <v>0</v>
      </c>
      <c r="E8" s="5">
        <f t="shared" si="0"/>
        <v>0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 t="shared" si="0"/>
        <v>0</v>
      </c>
      <c r="K8" s="5">
        <f t="shared" si="0"/>
        <v>0</v>
      </c>
      <c r="L8" s="5">
        <f t="shared" si="0"/>
        <v>0</v>
      </c>
      <c r="M8" s="5">
        <f t="shared" si="0"/>
        <v>0</v>
      </c>
      <c r="N8" s="5">
        <f>SUM(B8:M8)</f>
        <v>0</v>
      </c>
    </row>
    <row r="9" spans="1:14" x14ac:dyDescent="0.25">
      <c r="A9" s="3" t="s">
        <v>6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 t="s">
        <v>67</v>
      </c>
      <c r="N9" s="4"/>
    </row>
    <row r="10" spans="1:14" x14ac:dyDescent="0.25">
      <c r="A10" s="3" t="s">
        <v>7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6"/>
    </row>
    <row r="11" spans="1:14" x14ac:dyDescent="0.25">
      <c r="A11" s="3" t="s">
        <v>17</v>
      </c>
      <c r="B11" s="6">
        <v>430.45</v>
      </c>
      <c r="C11" s="6">
        <v>334.55</v>
      </c>
      <c r="D11" s="6">
        <v>430.45</v>
      </c>
      <c r="E11" s="6">
        <v>395.45</v>
      </c>
      <c r="F11" s="6">
        <v>385</v>
      </c>
      <c r="G11" s="4">
        <v>812.28</v>
      </c>
      <c r="H11" s="78"/>
      <c r="I11" s="79"/>
      <c r="J11" s="79"/>
      <c r="K11" s="79"/>
      <c r="L11" s="79"/>
      <c r="M11" s="79"/>
      <c r="N11" s="6">
        <f t="shared" ref="N11:N21" si="1">SUM(B11:M11)</f>
        <v>2788.1800000000003</v>
      </c>
    </row>
    <row r="12" spans="1:14" x14ac:dyDescent="0.25">
      <c r="A12" s="3" t="s">
        <v>8</v>
      </c>
      <c r="B12" s="6">
        <v>567.77</v>
      </c>
      <c r="C12" s="6">
        <v>707.3</v>
      </c>
      <c r="D12" s="6">
        <v>233.11</v>
      </c>
      <c r="E12" s="6">
        <v>120.2</v>
      </c>
      <c r="F12" s="4">
        <v>225.8</v>
      </c>
      <c r="G12" s="6">
        <v>220.25</v>
      </c>
      <c r="H12" s="79"/>
      <c r="I12" s="79"/>
      <c r="J12" s="79"/>
      <c r="K12" s="79"/>
      <c r="L12" s="79"/>
      <c r="M12" s="79"/>
      <c r="N12" s="6">
        <f t="shared" si="1"/>
        <v>2074.4299999999998</v>
      </c>
    </row>
    <row r="13" spans="1:14" x14ac:dyDescent="0.25">
      <c r="A13" s="3" t="s">
        <v>13</v>
      </c>
      <c r="B13" s="6"/>
      <c r="C13" s="6"/>
      <c r="D13" s="6">
        <v>57.3</v>
      </c>
      <c r="E13" s="4"/>
      <c r="F13" s="4">
        <v>219.76</v>
      </c>
      <c r="G13" s="4"/>
      <c r="H13" s="78"/>
      <c r="I13" s="78"/>
      <c r="J13" s="78"/>
      <c r="K13" s="78"/>
      <c r="L13" s="78"/>
      <c r="M13" s="78"/>
      <c r="N13" s="6">
        <f t="shared" si="1"/>
        <v>277.06</v>
      </c>
    </row>
    <row r="14" spans="1:14" x14ac:dyDescent="0.25">
      <c r="A14" s="3" t="s">
        <v>74</v>
      </c>
      <c r="B14" s="6"/>
      <c r="C14" s="6"/>
      <c r="D14" s="6"/>
      <c r="E14" s="4"/>
      <c r="F14" s="4"/>
      <c r="G14" s="4"/>
      <c r="H14" s="78"/>
      <c r="I14" s="78"/>
      <c r="J14" s="78"/>
      <c r="K14" s="78"/>
      <c r="L14" s="78"/>
      <c r="M14" s="78"/>
      <c r="N14" s="6"/>
    </row>
    <row r="15" spans="1:14" x14ac:dyDescent="0.25">
      <c r="A15" s="3" t="s">
        <v>29</v>
      </c>
      <c r="B15" s="4"/>
      <c r="C15" s="6"/>
      <c r="D15" s="6">
        <v>760</v>
      </c>
      <c r="E15" s="6"/>
      <c r="F15" s="4"/>
      <c r="G15" s="4"/>
      <c r="H15" s="78"/>
      <c r="I15" s="79"/>
      <c r="J15" s="79"/>
      <c r="K15" s="79"/>
      <c r="L15" s="79"/>
      <c r="M15" s="79"/>
      <c r="N15" s="6">
        <f t="shared" si="1"/>
        <v>760</v>
      </c>
    </row>
    <row r="16" spans="1:14" x14ac:dyDescent="0.25">
      <c r="A16" s="3" t="s">
        <v>30</v>
      </c>
      <c r="B16" s="4"/>
      <c r="C16" s="6"/>
      <c r="D16" s="6"/>
      <c r="E16" s="6"/>
      <c r="F16" s="4">
        <v>115.91</v>
      </c>
      <c r="G16" s="4"/>
      <c r="H16" s="78"/>
      <c r="I16" s="79"/>
      <c r="J16" s="79"/>
      <c r="K16" s="79"/>
      <c r="L16" s="79"/>
      <c r="M16" s="79"/>
      <c r="N16" s="6">
        <f t="shared" si="1"/>
        <v>115.91</v>
      </c>
    </row>
    <row r="17" spans="1:14" s="111" customFormat="1" x14ac:dyDescent="0.25">
      <c r="A17" s="3" t="s">
        <v>32</v>
      </c>
      <c r="B17" s="4">
        <v>975</v>
      </c>
      <c r="C17" s="6"/>
      <c r="D17" s="6"/>
      <c r="E17" s="6"/>
      <c r="F17" s="4"/>
      <c r="G17" s="4"/>
      <c r="H17" s="78"/>
      <c r="I17" s="79"/>
      <c r="J17" s="79"/>
      <c r="K17" s="79"/>
      <c r="L17" s="79"/>
      <c r="M17" s="79"/>
      <c r="N17" s="6">
        <f t="shared" si="1"/>
        <v>975</v>
      </c>
    </row>
    <row r="18" spans="1:14" s="111" customFormat="1" x14ac:dyDescent="0.25">
      <c r="A18" s="3" t="s">
        <v>79</v>
      </c>
      <c r="B18" s="4">
        <v>16171.38</v>
      </c>
      <c r="C18" s="6"/>
      <c r="D18" s="6"/>
      <c r="E18" s="6"/>
      <c r="F18" s="4">
        <v>11582.5</v>
      </c>
      <c r="G18" s="4"/>
      <c r="H18" s="78"/>
      <c r="I18" s="79"/>
      <c r="J18" s="79"/>
      <c r="K18" s="79"/>
      <c r="L18" s="79"/>
      <c r="M18" s="79"/>
      <c r="N18" s="6">
        <f t="shared" si="1"/>
        <v>27753.879999999997</v>
      </c>
    </row>
    <row r="19" spans="1:14" x14ac:dyDescent="0.25">
      <c r="A19" s="3" t="s">
        <v>14</v>
      </c>
      <c r="B19" s="5">
        <f>+B11+B12+B13+B14+B15+B16+B18+B17</f>
        <v>18144.599999999999</v>
      </c>
      <c r="C19" s="5">
        <f t="shared" ref="C19:M19" si="2">+C11+C12+C13+C14+C15+C16+C18+C17</f>
        <v>1041.8499999999999</v>
      </c>
      <c r="D19" s="5">
        <f t="shared" si="2"/>
        <v>1480.86</v>
      </c>
      <c r="E19" s="5">
        <f t="shared" si="2"/>
        <v>515.65</v>
      </c>
      <c r="F19" s="5">
        <f t="shared" si="2"/>
        <v>12528.97</v>
      </c>
      <c r="G19" s="5">
        <f t="shared" si="2"/>
        <v>1032.53</v>
      </c>
      <c r="H19" s="5">
        <f t="shared" si="2"/>
        <v>0</v>
      </c>
      <c r="I19" s="5">
        <f t="shared" si="2"/>
        <v>0</v>
      </c>
      <c r="J19" s="5">
        <f t="shared" si="2"/>
        <v>0</v>
      </c>
      <c r="K19" s="5">
        <f t="shared" si="2"/>
        <v>0</v>
      </c>
      <c r="L19" s="5">
        <f t="shared" si="2"/>
        <v>0</v>
      </c>
      <c r="M19" s="5">
        <f t="shared" si="2"/>
        <v>0</v>
      </c>
      <c r="N19" s="96">
        <f t="shared" si="1"/>
        <v>34744.46</v>
      </c>
    </row>
    <row r="20" spans="1:14" x14ac:dyDescent="0.25">
      <c r="A20" s="3" t="s">
        <v>15</v>
      </c>
      <c r="B20" s="5">
        <f t="shared" ref="B20:M20" si="3">B19</f>
        <v>18144.599999999999</v>
      </c>
      <c r="C20" s="5">
        <f t="shared" si="3"/>
        <v>1041.8499999999999</v>
      </c>
      <c r="D20" s="5">
        <f t="shared" si="3"/>
        <v>1480.86</v>
      </c>
      <c r="E20" s="5">
        <f t="shared" si="3"/>
        <v>515.65</v>
      </c>
      <c r="F20" s="5">
        <f t="shared" si="3"/>
        <v>12528.97</v>
      </c>
      <c r="G20" s="5">
        <f t="shared" si="3"/>
        <v>1032.53</v>
      </c>
      <c r="H20" s="5">
        <f t="shared" si="3"/>
        <v>0</v>
      </c>
      <c r="I20" s="5">
        <f t="shared" si="3"/>
        <v>0</v>
      </c>
      <c r="J20" s="5">
        <f t="shared" si="3"/>
        <v>0</v>
      </c>
      <c r="K20" s="5">
        <f t="shared" si="3"/>
        <v>0</v>
      </c>
      <c r="L20" s="5">
        <f t="shared" si="3"/>
        <v>0</v>
      </c>
      <c r="M20" s="5">
        <f t="shared" si="3"/>
        <v>0</v>
      </c>
      <c r="N20" s="96">
        <f t="shared" si="1"/>
        <v>34744.46</v>
      </c>
    </row>
    <row r="21" spans="1:14" x14ac:dyDescent="0.25">
      <c r="A21" s="3" t="s">
        <v>16</v>
      </c>
      <c r="B21" s="5">
        <f>(((B8)-(B20))+(0))-(0)</f>
        <v>-18144.599999999999</v>
      </c>
      <c r="C21" s="5">
        <f t="shared" ref="C21:M21" si="4">(((C8)-(C20))+(0))-(0)</f>
        <v>-1041.8499999999999</v>
      </c>
      <c r="D21" s="5">
        <f t="shared" si="4"/>
        <v>-1480.86</v>
      </c>
      <c r="E21" s="5">
        <f t="shared" si="4"/>
        <v>-515.65</v>
      </c>
      <c r="F21" s="5">
        <f t="shared" si="4"/>
        <v>-12528.97</v>
      </c>
      <c r="G21" s="5">
        <f t="shared" si="4"/>
        <v>-1032.53</v>
      </c>
      <c r="H21" s="5">
        <f t="shared" si="4"/>
        <v>0</v>
      </c>
      <c r="I21" s="5">
        <f t="shared" si="4"/>
        <v>0</v>
      </c>
      <c r="J21" s="5">
        <f t="shared" si="4"/>
        <v>0</v>
      </c>
      <c r="K21" s="5">
        <f t="shared" si="4"/>
        <v>0</v>
      </c>
      <c r="L21" s="5">
        <f t="shared" si="4"/>
        <v>0</v>
      </c>
      <c r="M21" s="5">
        <f t="shared" si="4"/>
        <v>0</v>
      </c>
      <c r="N21" s="97">
        <f t="shared" si="1"/>
        <v>-34744.46</v>
      </c>
    </row>
    <row r="22" spans="1:14" x14ac:dyDescent="0.25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</row>
    <row r="25" spans="1:14" x14ac:dyDescent="0.25">
      <c r="A25" s="117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</row>
  </sheetData>
  <mergeCells count="4">
    <mergeCell ref="A1:N1"/>
    <mergeCell ref="A2:N2"/>
    <mergeCell ref="A3:N3"/>
    <mergeCell ref="A25:N25"/>
  </mergeCells>
  <pageMargins left="0.7" right="0.7" top="0.75" bottom="0.75" header="0.3" footer="0.3"/>
  <pageSetup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42"/>
  <sheetViews>
    <sheetView topLeftCell="A19" workbookViewId="0">
      <selection activeCell="A33" sqref="A33"/>
    </sheetView>
  </sheetViews>
  <sheetFormatPr defaultRowHeight="15" x14ac:dyDescent="0.25"/>
  <cols>
    <col min="1" max="1" width="30.140625" customWidth="1"/>
    <col min="2" max="13" width="11.140625" customWidth="1"/>
    <col min="14" max="14" width="11.140625" style="99" customWidth="1"/>
  </cols>
  <sheetData>
    <row r="1" spans="1:14" ht="18" x14ac:dyDescent="0.25">
      <c r="A1" s="114" t="s">
        <v>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</row>
    <row r="2" spans="1:14" ht="18" x14ac:dyDescent="0.25">
      <c r="A2" s="114" t="s">
        <v>40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</row>
    <row r="3" spans="1:14" x14ac:dyDescent="0.25">
      <c r="A3" s="116" t="str">
        <f>+'100 5-30-9-7 '!A3:N3</f>
        <v xml:space="preserve">January 2019 - 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</row>
    <row r="5" spans="1:14" x14ac:dyDescent="0.25">
      <c r="A5" s="1"/>
      <c r="B5" s="109">
        <v>43466</v>
      </c>
      <c r="C5" s="109">
        <v>43514</v>
      </c>
      <c r="D5" s="109">
        <v>43542</v>
      </c>
      <c r="E5" s="109">
        <v>43573</v>
      </c>
      <c r="F5" s="109">
        <v>43603</v>
      </c>
      <c r="G5" s="109">
        <v>43634</v>
      </c>
      <c r="H5" s="109">
        <v>43664</v>
      </c>
      <c r="I5" s="109">
        <v>43695</v>
      </c>
      <c r="J5" s="109">
        <v>43726</v>
      </c>
      <c r="K5" s="109">
        <v>43756</v>
      </c>
      <c r="L5" s="109">
        <v>43787</v>
      </c>
      <c r="M5" s="109">
        <v>43817</v>
      </c>
      <c r="N5" s="2" t="s">
        <v>2</v>
      </c>
    </row>
    <row r="6" spans="1:14" x14ac:dyDescent="0.25">
      <c r="A6" s="3" t="s">
        <v>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98"/>
    </row>
    <row r="7" spans="1:14" x14ac:dyDescent="0.25">
      <c r="A7" s="3" t="s">
        <v>21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95"/>
    </row>
    <row r="8" spans="1:14" x14ac:dyDescent="0.25">
      <c r="A8" s="3" t="s">
        <v>41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95"/>
    </row>
    <row r="9" spans="1:14" x14ac:dyDescent="0.25">
      <c r="A9" s="3" t="s">
        <v>42</v>
      </c>
      <c r="B9" s="6">
        <f>8*11</f>
        <v>88</v>
      </c>
      <c r="C9" s="6">
        <v>0</v>
      </c>
      <c r="D9" s="6">
        <v>161.69999999999999</v>
      </c>
      <c r="E9" s="6"/>
      <c r="F9" s="6">
        <v>924</v>
      </c>
      <c r="G9" s="6">
        <v>924</v>
      </c>
      <c r="H9" s="6"/>
      <c r="I9" s="6"/>
      <c r="J9" s="6"/>
      <c r="K9" s="6"/>
      <c r="L9" s="6"/>
      <c r="M9" s="6"/>
      <c r="N9" s="95">
        <f>SUM(B9:M9)</f>
        <v>2097.6999999999998</v>
      </c>
    </row>
    <row r="10" spans="1:14" x14ac:dyDescent="0.25">
      <c r="A10" s="3" t="s">
        <v>24</v>
      </c>
      <c r="B10" s="5">
        <f t="shared" ref="B10:G10" si="0">(B8)+(B9)</f>
        <v>88</v>
      </c>
      <c r="C10" s="5">
        <f t="shared" si="0"/>
        <v>0</v>
      </c>
      <c r="D10" s="5">
        <f t="shared" si="0"/>
        <v>161.69999999999999</v>
      </c>
      <c r="E10" s="5">
        <f t="shared" si="0"/>
        <v>0</v>
      </c>
      <c r="F10" s="5">
        <f t="shared" si="0"/>
        <v>924</v>
      </c>
      <c r="G10" s="5">
        <f t="shared" si="0"/>
        <v>924</v>
      </c>
      <c r="H10" s="5">
        <f t="shared" ref="H10:I10" si="1">(H8)+(H9)</f>
        <v>0</v>
      </c>
      <c r="I10" s="5">
        <f t="shared" si="1"/>
        <v>0</v>
      </c>
      <c r="J10" s="5">
        <f t="shared" ref="J10:K10" si="2">(J8)+(J9)</f>
        <v>0</v>
      </c>
      <c r="K10" s="5">
        <f t="shared" si="2"/>
        <v>0</v>
      </c>
      <c r="L10" s="5">
        <f t="shared" ref="L10:M10" si="3">(L8)+(L9)</f>
        <v>0</v>
      </c>
      <c r="M10" s="5">
        <f t="shared" si="3"/>
        <v>0</v>
      </c>
      <c r="N10" s="96">
        <f t="shared" ref="N10:N38" si="4">SUM(B10:M10)</f>
        <v>2097.6999999999998</v>
      </c>
    </row>
    <row r="11" spans="1:14" x14ac:dyDescent="0.25">
      <c r="A11" s="3" t="s">
        <v>25</v>
      </c>
      <c r="B11" s="5">
        <f t="shared" ref="B11:G11" si="5">(B7)+(B10)</f>
        <v>88</v>
      </c>
      <c r="C11" s="5">
        <f t="shared" si="5"/>
        <v>0</v>
      </c>
      <c r="D11" s="5">
        <f t="shared" si="5"/>
        <v>161.69999999999999</v>
      </c>
      <c r="E11" s="5">
        <f t="shared" si="5"/>
        <v>0</v>
      </c>
      <c r="F11" s="5">
        <f t="shared" si="5"/>
        <v>924</v>
      </c>
      <c r="G11" s="5">
        <f t="shared" si="5"/>
        <v>924</v>
      </c>
      <c r="H11" s="5">
        <f t="shared" ref="H11:I11" si="6">(H7)+(H10)</f>
        <v>0</v>
      </c>
      <c r="I11" s="5">
        <f t="shared" si="6"/>
        <v>0</v>
      </c>
      <c r="J11" s="5">
        <f t="shared" ref="J11:K11" si="7">(J7)+(J10)</f>
        <v>0</v>
      </c>
      <c r="K11" s="5">
        <f t="shared" si="7"/>
        <v>0</v>
      </c>
      <c r="L11" s="5">
        <f t="shared" ref="L11:M11" si="8">(L7)+(L10)</f>
        <v>0</v>
      </c>
      <c r="M11" s="5">
        <f t="shared" si="8"/>
        <v>0</v>
      </c>
      <c r="N11" s="95">
        <f t="shared" si="4"/>
        <v>2097.6999999999998</v>
      </c>
    </row>
    <row r="12" spans="1:14" x14ac:dyDescent="0.25">
      <c r="A12" s="3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95"/>
    </row>
    <row r="13" spans="1:14" x14ac:dyDescent="0.25">
      <c r="A13" s="3" t="s">
        <v>4</v>
      </c>
      <c r="B13" s="4">
        <f>+B11</f>
        <v>88</v>
      </c>
      <c r="C13" s="4">
        <f t="shared" ref="C13:G13" si="9">+C11</f>
        <v>0</v>
      </c>
      <c r="D13" s="4">
        <f t="shared" si="9"/>
        <v>161.69999999999999</v>
      </c>
      <c r="E13" s="4">
        <f t="shared" si="9"/>
        <v>0</v>
      </c>
      <c r="F13" s="4">
        <f t="shared" si="9"/>
        <v>924</v>
      </c>
      <c r="G13" s="4">
        <f t="shared" si="9"/>
        <v>924</v>
      </c>
      <c r="H13" s="4">
        <f t="shared" ref="H13:I13" si="10">+H11</f>
        <v>0</v>
      </c>
      <c r="I13" s="4">
        <f t="shared" si="10"/>
        <v>0</v>
      </c>
      <c r="J13" s="4">
        <f t="shared" ref="J13:K13" si="11">+J11</f>
        <v>0</v>
      </c>
      <c r="K13" s="4">
        <f t="shared" si="11"/>
        <v>0</v>
      </c>
      <c r="L13" s="4">
        <f t="shared" ref="L13:M13" si="12">+L11</f>
        <v>0</v>
      </c>
      <c r="M13" s="4">
        <f t="shared" si="12"/>
        <v>0</v>
      </c>
      <c r="N13" s="95">
        <f t="shared" si="4"/>
        <v>2097.6999999999998</v>
      </c>
    </row>
    <row r="14" spans="1:14" x14ac:dyDescent="0.25">
      <c r="A14" s="3" t="s">
        <v>5</v>
      </c>
      <c r="B14" s="5">
        <f t="shared" ref="B14:G14" si="13">(B13)-(0)</f>
        <v>88</v>
      </c>
      <c r="C14" s="5">
        <f t="shared" si="13"/>
        <v>0</v>
      </c>
      <c r="D14" s="5">
        <f t="shared" si="13"/>
        <v>161.69999999999999</v>
      </c>
      <c r="E14" s="5">
        <f t="shared" si="13"/>
        <v>0</v>
      </c>
      <c r="F14" s="5">
        <f t="shared" si="13"/>
        <v>924</v>
      </c>
      <c r="G14" s="5">
        <f t="shared" si="13"/>
        <v>924</v>
      </c>
      <c r="H14" s="5">
        <f t="shared" ref="H14:I14" si="14">(H13)-(0)</f>
        <v>0</v>
      </c>
      <c r="I14" s="5">
        <f t="shared" si="14"/>
        <v>0</v>
      </c>
      <c r="J14" s="5">
        <f t="shared" ref="J14:K14" si="15">(J13)-(0)</f>
        <v>0</v>
      </c>
      <c r="K14" s="5">
        <f t="shared" si="15"/>
        <v>0</v>
      </c>
      <c r="L14" s="5">
        <f t="shared" ref="L14:M14" si="16">(L13)-(0)</f>
        <v>0</v>
      </c>
      <c r="M14" s="5">
        <f t="shared" si="16"/>
        <v>0</v>
      </c>
      <c r="N14" s="97">
        <f t="shared" si="4"/>
        <v>2097.6999999999998</v>
      </c>
    </row>
    <row r="15" spans="1:14" x14ac:dyDescent="0.25">
      <c r="A15" s="3" t="s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95"/>
    </row>
    <row r="16" spans="1:14" x14ac:dyDescent="0.25">
      <c r="A16" s="3" t="s">
        <v>28</v>
      </c>
      <c r="B16" s="4">
        <v>1689.2</v>
      </c>
      <c r="C16" s="4"/>
      <c r="D16" s="4"/>
      <c r="E16" s="4">
        <v>2373.4499999999998</v>
      </c>
      <c r="F16" s="6">
        <v>798.14</v>
      </c>
      <c r="G16" s="4">
        <v>2373.4499999999998</v>
      </c>
      <c r="H16" s="78"/>
      <c r="I16" s="78"/>
      <c r="J16" s="79"/>
      <c r="K16" s="78"/>
      <c r="L16" s="78"/>
      <c r="M16" s="78"/>
      <c r="N16" s="95">
        <f t="shared" si="4"/>
        <v>7234.24</v>
      </c>
    </row>
    <row r="17" spans="1:14" x14ac:dyDescent="0.25">
      <c r="A17" s="3" t="s">
        <v>17</v>
      </c>
      <c r="B17" s="6">
        <f>2300+251.77</f>
        <v>2551.77</v>
      </c>
      <c r="C17" s="6">
        <v>1900</v>
      </c>
      <c r="D17" s="6">
        <v>1700</v>
      </c>
      <c r="E17" s="6">
        <v>2500</v>
      </c>
      <c r="F17" s="6">
        <f>1850+32.38</f>
        <v>1882.38</v>
      </c>
      <c r="G17" s="6">
        <f>4050+24</f>
        <v>4074</v>
      </c>
      <c r="H17" s="79"/>
      <c r="I17" s="79"/>
      <c r="J17" s="79"/>
      <c r="K17" s="79"/>
      <c r="L17" s="79"/>
      <c r="M17" s="79"/>
      <c r="N17" s="95">
        <f t="shared" si="4"/>
        <v>14608.150000000001</v>
      </c>
    </row>
    <row r="18" spans="1:14" x14ac:dyDescent="0.25">
      <c r="A18" s="83" t="s">
        <v>62</v>
      </c>
      <c r="B18" s="6"/>
      <c r="C18" s="6"/>
      <c r="D18" s="6"/>
      <c r="E18" s="6"/>
      <c r="F18" s="6"/>
      <c r="G18" s="6"/>
      <c r="H18" s="79"/>
      <c r="I18" s="79"/>
      <c r="J18" s="79"/>
      <c r="K18" s="79"/>
      <c r="L18" s="79"/>
      <c r="M18" s="79"/>
      <c r="N18" s="95">
        <f t="shared" si="4"/>
        <v>0</v>
      </c>
    </row>
    <row r="19" spans="1:14" x14ac:dyDescent="0.25">
      <c r="A19" s="3" t="s">
        <v>8</v>
      </c>
      <c r="B19" s="6">
        <v>6100.12</v>
      </c>
      <c r="C19" s="6">
        <f>10109.06-719.8</f>
        <v>9389.26</v>
      </c>
      <c r="D19" s="6">
        <v>4419.09</v>
      </c>
      <c r="E19" s="6">
        <v>8533.08</v>
      </c>
      <c r="F19" s="6">
        <v>6561.7</v>
      </c>
      <c r="G19" s="6">
        <v>5918.7</v>
      </c>
      <c r="H19" s="79"/>
      <c r="I19" s="79"/>
      <c r="J19" s="79"/>
      <c r="K19" s="79"/>
      <c r="L19" s="79"/>
      <c r="M19" s="79"/>
      <c r="N19" s="95">
        <f t="shared" si="4"/>
        <v>40921.949999999997</v>
      </c>
    </row>
    <row r="20" spans="1:14" x14ac:dyDescent="0.25">
      <c r="A20" s="3" t="s">
        <v>70</v>
      </c>
      <c r="B20" s="6"/>
      <c r="C20" s="6"/>
      <c r="D20" s="6"/>
      <c r="E20" s="6"/>
      <c r="F20" s="6">
        <v>10016.35</v>
      </c>
      <c r="G20" s="6"/>
      <c r="H20" s="79"/>
      <c r="I20" s="79"/>
      <c r="J20" s="79"/>
      <c r="K20" s="79"/>
      <c r="L20" s="79"/>
      <c r="M20" s="79"/>
      <c r="N20" s="95">
        <f t="shared" si="4"/>
        <v>10016.35</v>
      </c>
    </row>
    <row r="21" spans="1:14" x14ac:dyDescent="0.25">
      <c r="A21" s="3" t="s">
        <v>36</v>
      </c>
      <c r="B21" s="6">
        <v>200</v>
      </c>
      <c r="C21" s="6">
        <v>200</v>
      </c>
      <c r="D21" s="6">
        <v>200</v>
      </c>
      <c r="E21" s="6">
        <v>200</v>
      </c>
      <c r="F21" s="6">
        <v>200</v>
      </c>
      <c r="G21" s="6">
        <v>200</v>
      </c>
      <c r="H21" s="79"/>
      <c r="I21" s="79"/>
      <c r="J21" s="79"/>
      <c r="K21" s="79"/>
      <c r="L21" s="79"/>
      <c r="M21" s="79"/>
      <c r="N21" s="95">
        <f t="shared" si="4"/>
        <v>1200</v>
      </c>
    </row>
    <row r="22" spans="1:14" x14ac:dyDescent="0.25">
      <c r="A22" s="83" t="s">
        <v>9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95"/>
    </row>
    <row r="23" spans="1:14" x14ac:dyDescent="0.25">
      <c r="A23" s="83" t="s">
        <v>11</v>
      </c>
      <c r="B23" s="78"/>
      <c r="C23" s="78"/>
      <c r="D23" s="78"/>
      <c r="E23" s="78"/>
      <c r="F23" s="78"/>
      <c r="G23" s="78"/>
      <c r="H23" s="78"/>
      <c r="I23" s="79"/>
      <c r="J23" s="79"/>
      <c r="K23" s="79"/>
      <c r="L23" s="79"/>
      <c r="M23" s="79"/>
      <c r="N23" s="95">
        <f t="shared" si="4"/>
        <v>0</v>
      </c>
    </row>
    <row r="24" spans="1:14" x14ac:dyDescent="0.25">
      <c r="A24" s="83" t="s">
        <v>12</v>
      </c>
      <c r="B24" s="82">
        <f t="shared" ref="B24:M24" si="17">(B22)+(B23)</f>
        <v>0</v>
      </c>
      <c r="C24" s="82">
        <f t="shared" si="17"/>
        <v>0</v>
      </c>
      <c r="D24" s="82">
        <f t="shared" si="17"/>
        <v>0</v>
      </c>
      <c r="E24" s="82">
        <f t="shared" si="17"/>
        <v>0</v>
      </c>
      <c r="F24" s="82">
        <f t="shared" si="17"/>
        <v>0</v>
      </c>
      <c r="G24" s="82">
        <f t="shared" si="17"/>
        <v>0</v>
      </c>
      <c r="H24" s="82">
        <f t="shared" si="17"/>
        <v>0</v>
      </c>
      <c r="I24" s="82">
        <f t="shared" si="17"/>
        <v>0</v>
      </c>
      <c r="J24" s="82">
        <f t="shared" si="17"/>
        <v>0</v>
      </c>
      <c r="K24" s="82">
        <f t="shared" si="17"/>
        <v>0</v>
      </c>
      <c r="L24" s="82">
        <f t="shared" si="17"/>
        <v>0</v>
      </c>
      <c r="M24" s="82">
        <f t="shared" si="17"/>
        <v>0</v>
      </c>
      <c r="N24" s="97">
        <f t="shared" si="4"/>
        <v>0</v>
      </c>
    </row>
    <row r="25" spans="1:14" x14ac:dyDescent="0.25">
      <c r="A25" s="3" t="s">
        <v>13</v>
      </c>
      <c r="B25" s="6">
        <v>4.78</v>
      </c>
      <c r="C25" s="6"/>
      <c r="D25" s="6">
        <v>57.3</v>
      </c>
      <c r="E25" s="6"/>
      <c r="F25" s="4">
        <v>594.85</v>
      </c>
      <c r="G25" s="4"/>
      <c r="H25" s="79"/>
      <c r="I25" s="4"/>
      <c r="J25" s="4"/>
      <c r="K25" s="4"/>
      <c r="L25" s="4"/>
      <c r="M25" s="4"/>
      <c r="N25" s="95">
        <f t="shared" si="4"/>
        <v>656.93000000000006</v>
      </c>
    </row>
    <row r="26" spans="1:14" x14ac:dyDescent="0.25">
      <c r="A26" s="3" t="s">
        <v>73</v>
      </c>
      <c r="B26" s="6"/>
      <c r="C26" s="6"/>
      <c r="D26" s="6"/>
      <c r="E26" s="6"/>
      <c r="F26" s="4"/>
      <c r="G26" s="4"/>
      <c r="H26" s="79"/>
      <c r="I26" s="4"/>
      <c r="J26" s="4"/>
      <c r="K26" s="4"/>
      <c r="L26" s="4"/>
      <c r="M26" s="4"/>
      <c r="N26" s="95">
        <f t="shared" si="4"/>
        <v>0</v>
      </c>
    </row>
    <row r="27" spans="1:14" s="111" customFormat="1" x14ac:dyDescent="0.25">
      <c r="A27" s="3" t="s">
        <v>80</v>
      </c>
      <c r="B27" s="6"/>
      <c r="C27" s="6"/>
      <c r="D27" s="6"/>
      <c r="E27" s="6"/>
      <c r="F27" s="4"/>
      <c r="G27" s="4">
        <v>1290</v>
      </c>
      <c r="H27" s="79"/>
      <c r="I27" s="4"/>
      <c r="J27" s="4"/>
      <c r="K27" s="4"/>
      <c r="L27" s="4"/>
      <c r="M27" s="4"/>
      <c r="N27" s="95">
        <f t="shared" si="4"/>
        <v>1290</v>
      </c>
    </row>
    <row r="28" spans="1:14" x14ac:dyDescent="0.25">
      <c r="A28" s="3" t="s">
        <v>29</v>
      </c>
      <c r="B28" s="6">
        <v>1458</v>
      </c>
      <c r="C28" s="6">
        <v>364</v>
      </c>
      <c r="D28" s="6">
        <v>2553.98</v>
      </c>
      <c r="E28" s="6">
        <v>285</v>
      </c>
      <c r="F28" s="4"/>
      <c r="G28" s="4">
        <v>840</v>
      </c>
      <c r="H28" s="79"/>
      <c r="I28" s="4"/>
      <c r="J28" s="79"/>
      <c r="K28" s="79"/>
      <c r="L28" s="79"/>
      <c r="M28" s="79"/>
      <c r="N28" s="95">
        <f t="shared" si="4"/>
        <v>5500.98</v>
      </c>
    </row>
    <row r="29" spans="1:14" x14ac:dyDescent="0.25">
      <c r="A29" s="3" t="s">
        <v>30</v>
      </c>
      <c r="B29" s="6"/>
      <c r="C29" s="6">
        <v>440</v>
      </c>
      <c r="D29" s="6">
        <v>330</v>
      </c>
      <c r="E29" s="6"/>
      <c r="F29" s="6"/>
      <c r="G29" s="4"/>
      <c r="H29" s="78"/>
      <c r="I29" s="79"/>
      <c r="J29" s="78"/>
      <c r="K29" s="79"/>
      <c r="L29" s="79"/>
      <c r="M29" s="79"/>
      <c r="N29" s="95">
        <f t="shared" si="4"/>
        <v>770</v>
      </c>
    </row>
    <row r="30" spans="1:14" x14ac:dyDescent="0.25">
      <c r="A30" s="83" t="s">
        <v>61</v>
      </c>
      <c r="B30" s="6"/>
      <c r="C30" s="6"/>
      <c r="D30" s="6"/>
      <c r="E30" s="6"/>
      <c r="F30" s="6"/>
      <c r="G30" s="4"/>
      <c r="H30" s="78"/>
      <c r="I30" s="79"/>
      <c r="J30" s="79"/>
      <c r="K30" s="78"/>
      <c r="L30" s="78"/>
      <c r="M30" s="78"/>
      <c r="N30" s="95">
        <f t="shared" si="4"/>
        <v>0</v>
      </c>
    </row>
    <row r="31" spans="1:14" x14ac:dyDescent="0.25">
      <c r="A31" s="3" t="s">
        <v>18</v>
      </c>
      <c r="B31" s="6">
        <v>32</v>
      </c>
      <c r="C31" s="6"/>
      <c r="D31" s="6">
        <v>243.49</v>
      </c>
      <c r="E31" s="6">
        <v>52.45</v>
      </c>
      <c r="F31" s="6">
        <v>256.25</v>
      </c>
      <c r="G31" s="4">
        <v>2424.56</v>
      </c>
      <c r="H31" s="78"/>
      <c r="I31" s="78"/>
      <c r="J31" s="79"/>
      <c r="K31" s="79"/>
      <c r="L31" s="79"/>
      <c r="M31" s="79"/>
      <c r="N31" s="95">
        <f t="shared" si="4"/>
        <v>3008.75</v>
      </c>
    </row>
    <row r="32" spans="1:14" x14ac:dyDescent="0.25">
      <c r="A32" s="3" t="s">
        <v>31</v>
      </c>
      <c r="B32" s="6">
        <v>308.60000000000002</v>
      </c>
      <c r="C32" s="6"/>
      <c r="D32" s="6">
        <v>88.39</v>
      </c>
      <c r="E32" s="4">
        <v>405.95</v>
      </c>
      <c r="F32" s="6">
        <v>159.38999999999999</v>
      </c>
      <c r="G32" s="6">
        <v>475.99</v>
      </c>
      <c r="H32" s="79"/>
      <c r="I32" s="79"/>
      <c r="J32" s="79"/>
      <c r="K32" s="79"/>
      <c r="L32" s="79"/>
      <c r="M32" s="79"/>
      <c r="N32" s="95">
        <f t="shared" si="4"/>
        <v>1438.3200000000002</v>
      </c>
    </row>
    <row r="33" spans="1:14" x14ac:dyDescent="0.25">
      <c r="A33" s="3" t="s">
        <v>71</v>
      </c>
      <c r="B33" s="6">
        <v>690</v>
      </c>
      <c r="C33" s="6">
        <v>150</v>
      </c>
      <c r="D33" s="6">
        <v>300</v>
      </c>
      <c r="E33" s="4"/>
      <c r="F33" s="6">
        <v>475</v>
      </c>
      <c r="G33" s="6"/>
      <c r="H33" s="79"/>
      <c r="I33" s="79"/>
      <c r="J33" s="79"/>
      <c r="K33" s="79"/>
      <c r="L33" s="79"/>
      <c r="M33" s="79"/>
      <c r="N33" s="95">
        <f t="shared" si="4"/>
        <v>1615</v>
      </c>
    </row>
    <row r="34" spans="1:14" x14ac:dyDescent="0.25">
      <c r="A34" s="3" t="s">
        <v>32</v>
      </c>
      <c r="B34" s="6">
        <v>325</v>
      </c>
      <c r="C34" s="6"/>
      <c r="D34" s="6"/>
      <c r="E34" s="4">
        <v>260</v>
      </c>
      <c r="F34" s="6">
        <v>130</v>
      </c>
      <c r="G34" s="6">
        <v>3585</v>
      </c>
      <c r="H34" s="79"/>
      <c r="I34" s="79"/>
      <c r="J34" s="79"/>
      <c r="K34" s="79"/>
      <c r="L34" s="79"/>
      <c r="M34" s="79"/>
      <c r="N34" s="95">
        <f t="shared" si="4"/>
        <v>4300</v>
      </c>
    </row>
    <row r="35" spans="1:14" s="111" customFormat="1" x14ac:dyDescent="0.25">
      <c r="A35" s="3" t="s">
        <v>79</v>
      </c>
      <c r="B35" s="6"/>
      <c r="C35" s="6"/>
      <c r="D35" s="6"/>
      <c r="E35" s="4"/>
      <c r="F35" s="6"/>
      <c r="G35" s="6">
        <f>1200+10342.5</f>
        <v>11542.5</v>
      </c>
      <c r="H35" s="79"/>
      <c r="I35" s="79"/>
      <c r="J35" s="79"/>
      <c r="K35" s="79"/>
      <c r="L35" s="79"/>
      <c r="M35" s="79"/>
      <c r="N35" s="95">
        <f t="shared" si="4"/>
        <v>11542.5</v>
      </c>
    </row>
    <row r="36" spans="1:14" x14ac:dyDescent="0.25">
      <c r="A36" s="3" t="s">
        <v>14</v>
      </c>
      <c r="B36" s="5">
        <f>+B16+B17+B18+B19+B20+B21+B24+B25+B26+B28+B29+B30+B31+B32+B33+B34+B27+B35</f>
        <v>13359.470000000001</v>
      </c>
      <c r="C36" s="5">
        <f t="shared" ref="C36:M36" si="18">+C16+C17+C18+C19+C20+C21+C24+C25+C26+C28+C29+C30+C31+C32+C33+C34+C27+C35</f>
        <v>12443.26</v>
      </c>
      <c r="D36" s="5">
        <f t="shared" si="18"/>
        <v>9892.25</v>
      </c>
      <c r="E36" s="5">
        <f t="shared" si="18"/>
        <v>14609.93</v>
      </c>
      <c r="F36" s="5">
        <f t="shared" si="18"/>
        <v>21074.059999999998</v>
      </c>
      <c r="G36" s="5">
        <f t="shared" si="18"/>
        <v>32724.199999999997</v>
      </c>
      <c r="H36" s="5">
        <f t="shared" si="18"/>
        <v>0</v>
      </c>
      <c r="I36" s="5">
        <f t="shared" si="18"/>
        <v>0</v>
      </c>
      <c r="J36" s="5">
        <f t="shared" si="18"/>
        <v>0</v>
      </c>
      <c r="K36" s="5">
        <f t="shared" si="18"/>
        <v>0</v>
      </c>
      <c r="L36" s="5">
        <f t="shared" si="18"/>
        <v>0</v>
      </c>
      <c r="M36" s="5">
        <f t="shared" si="18"/>
        <v>0</v>
      </c>
      <c r="N36" s="96">
        <f t="shared" si="4"/>
        <v>104103.17</v>
      </c>
    </row>
    <row r="37" spans="1:14" x14ac:dyDescent="0.25">
      <c r="A37" s="3" t="s">
        <v>15</v>
      </c>
      <c r="B37" s="5">
        <f>(B36)</f>
        <v>13359.470000000001</v>
      </c>
      <c r="C37" s="5">
        <f t="shared" ref="C37:M37" si="19">(C36)</f>
        <v>12443.26</v>
      </c>
      <c r="D37" s="5">
        <f t="shared" si="19"/>
        <v>9892.25</v>
      </c>
      <c r="E37" s="5">
        <f t="shared" si="19"/>
        <v>14609.93</v>
      </c>
      <c r="F37" s="5">
        <f t="shared" si="19"/>
        <v>21074.059999999998</v>
      </c>
      <c r="G37" s="5">
        <f t="shared" si="19"/>
        <v>32724.199999999997</v>
      </c>
      <c r="H37" s="5">
        <f t="shared" si="19"/>
        <v>0</v>
      </c>
      <c r="I37" s="5">
        <f t="shared" si="19"/>
        <v>0</v>
      </c>
      <c r="J37" s="5">
        <f t="shared" si="19"/>
        <v>0</v>
      </c>
      <c r="K37" s="5">
        <f t="shared" si="19"/>
        <v>0</v>
      </c>
      <c r="L37" s="5">
        <f t="shared" si="19"/>
        <v>0</v>
      </c>
      <c r="M37" s="5">
        <f t="shared" si="19"/>
        <v>0</v>
      </c>
      <c r="N37" s="96">
        <f t="shared" si="4"/>
        <v>104103.17</v>
      </c>
    </row>
    <row r="38" spans="1:14" x14ac:dyDescent="0.25">
      <c r="A38" s="3" t="s">
        <v>16</v>
      </c>
      <c r="B38" s="5">
        <f>(((B14)-(B37))+(0))-(0)</f>
        <v>-13271.470000000001</v>
      </c>
      <c r="C38" s="5">
        <f t="shared" ref="C38:M38" si="20">(((C14)-(C37))+(0))-(0)</f>
        <v>-12443.26</v>
      </c>
      <c r="D38" s="5">
        <f t="shared" si="20"/>
        <v>-9730.5499999999993</v>
      </c>
      <c r="E38" s="5">
        <f t="shared" si="20"/>
        <v>-14609.93</v>
      </c>
      <c r="F38" s="5">
        <f t="shared" si="20"/>
        <v>-20150.059999999998</v>
      </c>
      <c r="G38" s="5">
        <f t="shared" si="20"/>
        <v>-31800.199999999997</v>
      </c>
      <c r="H38" s="5">
        <f t="shared" si="20"/>
        <v>0</v>
      </c>
      <c r="I38" s="5">
        <f t="shared" si="20"/>
        <v>0</v>
      </c>
      <c r="J38" s="5">
        <f t="shared" si="20"/>
        <v>0</v>
      </c>
      <c r="K38" s="5">
        <f t="shared" si="20"/>
        <v>0</v>
      </c>
      <c r="L38" s="5">
        <f t="shared" si="20"/>
        <v>0</v>
      </c>
      <c r="M38" s="5">
        <f t="shared" si="20"/>
        <v>0</v>
      </c>
      <c r="N38" s="95">
        <f t="shared" si="4"/>
        <v>-102005.46999999999</v>
      </c>
    </row>
    <row r="39" spans="1:14" x14ac:dyDescent="0.25">
      <c r="A39" s="3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98"/>
    </row>
    <row r="42" spans="1:14" x14ac:dyDescent="0.25">
      <c r="A42" s="117"/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</row>
  </sheetData>
  <mergeCells count="4">
    <mergeCell ref="A1:N1"/>
    <mergeCell ref="A2:N2"/>
    <mergeCell ref="A3:N3"/>
    <mergeCell ref="A42:N42"/>
  </mergeCells>
  <pageMargins left="0.7" right="0.7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56"/>
  <sheetViews>
    <sheetView topLeftCell="A39" workbookViewId="0">
      <selection activeCell="O57" sqref="O57"/>
    </sheetView>
  </sheetViews>
  <sheetFormatPr defaultRowHeight="15" x14ac:dyDescent="0.25"/>
  <cols>
    <col min="1" max="1" width="30.140625" customWidth="1"/>
    <col min="2" max="2" width="7.5703125" customWidth="1"/>
    <col min="3" max="4" width="9.5703125" bestFit="1" customWidth="1"/>
    <col min="5" max="5" width="8.5703125" customWidth="1"/>
    <col min="6" max="6" width="9.42578125" customWidth="1"/>
    <col min="7" max="7" width="10.140625" bestFit="1" customWidth="1"/>
    <col min="8" max="14" width="9.42578125" customWidth="1"/>
    <col min="15" max="15" width="13.140625" bestFit="1" customWidth="1"/>
  </cols>
  <sheetData>
    <row r="1" spans="1:15" ht="18" x14ac:dyDescent="0.25">
      <c r="A1" s="114" t="s">
        <v>0</v>
      </c>
      <c r="B1" s="114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1:15" ht="18" x14ac:dyDescent="0.25">
      <c r="A2" s="114" t="s">
        <v>20</v>
      </c>
      <c r="B2" s="114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spans="1:15" x14ac:dyDescent="0.25">
      <c r="A3" s="116" t="str">
        <f>+'100 5-30-9-7 '!A3:N3</f>
        <v xml:space="preserve">January 2019 - 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</row>
    <row r="4" spans="1:15" x14ac:dyDescent="0.25">
      <c r="N4" s="99"/>
    </row>
    <row r="5" spans="1:15" x14ac:dyDescent="0.25">
      <c r="A5" s="1"/>
      <c r="C5" s="109">
        <v>43466</v>
      </c>
      <c r="D5" s="109">
        <v>43514</v>
      </c>
      <c r="E5" s="109">
        <v>43542</v>
      </c>
      <c r="F5" s="109">
        <v>43573</v>
      </c>
      <c r="G5" s="109">
        <v>43603</v>
      </c>
      <c r="H5" s="109">
        <v>43634</v>
      </c>
      <c r="I5" s="109">
        <v>43664</v>
      </c>
      <c r="J5" s="109">
        <v>43695</v>
      </c>
      <c r="K5" s="109">
        <v>43726</v>
      </c>
      <c r="L5" s="109">
        <v>43756</v>
      </c>
      <c r="M5" s="109">
        <v>43787</v>
      </c>
      <c r="N5" s="109">
        <v>43817</v>
      </c>
      <c r="O5" s="2" t="s">
        <v>2</v>
      </c>
    </row>
    <row r="6" spans="1:15" x14ac:dyDescent="0.25">
      <c r="A6" s="3" t="s">
        <v>3</v>
      </c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x14ac:dyDescent="0.25">
      <c r="A7" s="3" t="s">
        <v>21</v>
      </c>
      <c r="B7" s="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6"/>
    </row>
    <row r="8" spans="1:15" x14ac:dyDescent="0.25">
      <c r="A8" s="3" t="s">
        <v>22</v>
      </c>
      <c r="B8" s="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6"/>
    </row>
    <row r="9" spans="1:15" x14ac:dyDescent="0.25">
      <c r="A9" s="3" t="s">
        <v>23</v>
      </c>
      <c r="B9" s="3"/>
      <c r="C9" s="6">
        <v>7448.04</v>
      </c>
      <c r="D9" s="6">
        <v>8687.27</v>
      </c>
      <c r="E9" s="6">
        <v>9243.15</v>
      </c>
      <c r="F9" s="6">
        <v>8720.61</v>
      </c>
      <c r="G9" s="6">
        <v>8071.55</v>
      </c>
      <c r="H9" s="6"/>
      <c r="I9" s="79"/>
      <c r="J9" s="79"/>
      <c r="K9" s="79"/>
      <c r="L9" s="79"/>
      <c r="M9" s="79"/>
      <c r="N9" s="79"/>
      <c r="O9" s="6">
        <f>SUM(C9:N9)</f>
        <v>42170.62</v>
      </c>
    </row>
    <row r="10" spans="1:15" x14ac:dyDescent="0.25">
      <c r="A10" s="3" t="s">
        <v>24</v>
      </c>
      <c r="B10" s="3"/>
      <c r="C10" s="5">
        <f t="shared" ref="C10:J10" si="0">(C8)+(C9)</f>
        <v>7448.04</v>
      </c>
      <c r="D10" s="5">
        <f t="shared" si="0"/>
        <v>8687.27</v>
      </c>
      <c r="E10" s="5">
        <f t="shared" si="0"/>
        <v>9243.15</v>
      </c>
      <c r="F10" s="5">
        <f t="shared" si="0"/>
        <v>8720.61</v>
      </c>
      <c r="G10" s="5">
        <f t="shared" si="0"/>
        <v>8071.55</v>
      </c>
      <c r="H10" s="5">
        <f t="shared" si="0"/>
        <v>0</v>
      </c>
      <c r="I10" s="82">
        <f t="shared" si="0"/>
        <v>0</v>
      </c>
      <c r="J10" s="82">
        <f t="shared" si="0"/>
        <v>0</v>
      </c>
      <c r="K10" s="82">
        <f t="shared" ref="K10:L10" si="1">(K8)+(K9)</f>
        <v>0</v>
      </c>
      <c r="L10" s="82">
        <f t="shared" si="1"/>
        <v>0</v>
      </c>
      <c r="M10" s="82">
        <f t="shared" ref="M10:N10" si="2">(M8)+(M9)</f>
        <v>0</v>
      </c>
      <c r="N10" s="82">
        <f t="shared" si="2"/>
        <v>0</v>
      </c>
      <c r="O10" s="96">
        <f t="shared" ref="O10:O16" si="3">SUM(C10:N10)</f>
        <v>42170.62</v>
      </c>
    </row>
    <row r="11" spans="1:15" x14ac:dyDescent="0.25">
      <c r="A11" s="3" t="s">
        <v>25</v>
      </c>
      <c r="B11" s="3"/>
      <c r="C11" s="5">
        <f t="shared" ref="C11:J11" si="4">(C7)+(C10)</f>
        <v>7448.04</v>
      </c>
      <c r="D11" s="5">
        <f t="shared" si="4"/>
        <v>8687.27</v>
      </c>
      <c r="E11" s="5">
        <f t="shared" si="4"/>
        <v>9243.15</v>
      </c>
      <c r="F11" s="5">
        <f t="shared" si="4"/>
        <v>8720.61</v>
      </c>
      <c r="G11" s="5">
        <f t="shared" si="4"/>
        <v>8071.55</v>
      </c>
      <c r="H11" s="5">
        <f t="shared" si="4"/>
        <v>0</v>
      </c>
      <c r="I11" s="82">
        <f t="shared" si="4"/>
        <v>0</v>
      </c>
      <c r="J11" s="82">
        <f t="shared" si="4"/>
        <v>0</v>
      </c>
      <c r="K11" s="82">
        <f t="shared" ref="K11:L11" si="5">(K7)+(K10)</f>
        <v>0</v>
      </c>
      <c r="L11" s="82">
        <f t="shared" si="5"/>
        <v>0</v>
      </c>
      <c r="M11" s="82">
        <f t="shared" ref="M11:N11" si="6">(M7)+(M10)</f>
        <v>0</v>
      </c>
      <c r="N11" s="82">
        <f t="shared" si="6"/>
        <v>0</v>
      </c>
      <c r="O11" s="97">
        <f t="shared" si="3"/>
        <v>42170.62</v>
      </c>
    </row>
    <row r="12" spans="1:15" x14ac:dyDescent="0.25">
      <c r="A12" s="3" t="s">
        <v>26</v>
      </c>
      <c r="B12" s="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6"/>
    </row>
    <row r="13" spans="1:15" x14ac:dyDescent="0.25">
      <c r="A13" s="3" t="s">
        <v>68</v>
      </c>
      <c r="B13" s="3"/>
      <c r="C13" s="6">
        <f>-85.8*2</f>
        <v>-171.6</v>
      </c>
      <c r="D13" s="6">
        <v>-182.03</v>
      </c>
      <c r="E13" s="6">
        <v>-290.45999999999998</v>
      </c>
      <c r="F13" s="6">
        <v>-253.3</v>
      </c>
      <c r="G13" s="6">
        <v>-216.24</v>
      </c>
      <c r="H13" s="6"/>
      <c r="I13" s="6"/>
      <c r="J13" s="6"/>
      <c r="K13" s="6"/>
      <c r="L13" s="6"/>
      <c r="M13" s="6"/>
      <c r="N13" s="6"/>
      <c r="O13" s="100">
        <f t="shared" si="3"/>
        <v>-1113.6299999999999</v>
      </c>
    </row>
    <row r="14" spans="1:15" x14ac:dyDescent="0.25">
      <c r="A14" s="3" t="s">
        <v>27</v>
      </c>
      <c r="B14" s="3"/>
      <c r="C14" s="5">
        <f>((C12)+(C13))</f>
        <v>-171.6</v>
      </c>
      <c r="D14" s="5">
        <f t="shared" ref="D14:H14" si="7">((D12)+(D13))</f>
        <v>-182.03</v>
      </c>
      <c r="E14" s="5">
        <f t="shared" si="7"/>
        <v>-290.45999999999998</v>
      </c>
      <c r="F14" s="5">
        <f t="shared" si="7"/>
        <v>-253.3</v>
      </c>
      <c r="G14" s="5">
        <f t="shared" si="7"/>
        <v>-216.24</v>
      </c>
      <c r="H14" s="5">
        <f t="shared" si="7"/>
        <v>0</v>
      </c>
      <c r="I14" s="5">
        <f t="shared" ref="I14:J14" si="8">((I12)+(I13))</f>
        <v>0</v>
      </c>
      <c r="J14" s="5">
        <f t="shared" si="8"/>
        <v>0</v>
      </c>
      <c r="K14" s="5">
        <f t="shared" ref="K14:L14" si="9">((K12)+(K13))</f>
        <v>0</v>
      </c>
      <c r="L14" s="5">
        <f t="shared" si="9"/>
        <v>0</v>
      </c>
      <c r="M14" s="5">
        <f t="shared" ref="M14:N14" si="10">((M12)+(M13))</f>
        <v>0</v>
      </c>
      <c r="N14" s="5">
        <f t="shared" si="10"/>
        <v>0</v>
      </c>
      <c r="O14" s="97">
        <f t="shared" si="3"/>
        <v>-1113.6299999999999</v>
      </c>
    </row>
    <row r="15" spans="1:15" x14ac:dyDescent="0.25">
      <c r="A15" s="3" t="s">
        <v>4</v>
      </c>
      <c r="B15" s="3"/>
      <c r="C15" s="5">
        <f t="shared" ref="C15:H15" si="11">(C11)+(C14)</f>
        <v>7276.44</v>
      </c>
      <c r="D15" s="5">
        <f t="shared" si="11"/>
        <v>8505.24</v>
      </c>
      <c r="E15" s="5">
        <f t="shared" si="11"/>
        <v>8952.69</v>
      </c>
      <c r="F15" s="5">
        <f t="shared" si="11"/>
        <v>8467.3100000000013</v>
      </c>
      <c r="G15" s="5">
        <f t="shared" si="11"/>
        <v>7855.31</v>
      </c>
      <c r="H15" s="5">
        <f t="shared" si="11"/>
        <v>0</v>
      </c>
      <c r="I15" s="5">
        <f t="shared" ref="I15:J15" si="12">(I11)+(I14)</f>
        <v>0</v>
      </c>
      <c r="J15" s="5">
        <f t="shared" si="12"/>
        <v>0</v>
      </c>
      <c r="K15" s="5">
        <f t="shared" ref="K15:L15" si="13">(K11)+(K14)</f>
        <v>0</v>
      </c>
      <c r="L15" s="5">
        <f t="shared" si="13"/>
        <v>0</v>
      </c>
      <c r="M15" s="5">
        <f t="shared" ref="M15:N15" si="14">(M11)+(M14)</f>
        <v>0</v>
      </c>
      <c r="N15" s="5">
        <f t="shared" si="14"/>
        <v>0</v>
      </c>
      <c r="O15" s="97">
        <f t="shared" si="3"/>
        <v>41056.990000000005</v>
      </c>
    </row>
    <row r="16" spans="1:15" x14ac:dyDescent="0.25">
      <c r="A16" s="3" t="s">
        <v>5</v>
      </c>
      <c r="B16" s="3"/>
      <c r="C16" s="5">
        <f t="shared" ref="C16:H16" si="15">(C15)-(0)</f>
        <v>7276.44</v>
      </c>
      <c r="D16" s="5">
        <f t="shared" si="15"/>
        <v>8505.24</v>
      </c>
      <c r="E16" s="5">
        <f t="shared" si="15"/>
        <v>8952.69</v>
      </c>
      <c r="F16" s="5">
        <f t="shared" si="15"/>
        <v>8467.3100000000013</v>
      </c>
      <c r="G16" s="5">
        <f t="shared" si="15"/>
        <v>7855.31</v>
      </c>
      <c r="H16" s="5">
        <f t="shared" si="15"/>
        <v>0</v>
      </c>
      <c r="I16" s="5">
        <f t="shared" ref="I16:J16" si="16">(I15)-(0)</f>
        <v>0</v>
      </c>
      <c r="J16" s="5">
        <f t="shared" si="16"/>
        <v>0</v>
      </c>
      <c r="K16" s="5">
        <f t="shared" ref="K16:L16" si="17">(K15)-(0)</f>
        <v>0</v>
      </c>
      <c r="L16" s="5">
        <f t="shared" si="17"/>
        <v>0</v>
      </c>
      <c r="M16" s="5">
        <f t="shared" ref="M16:N16" si="18">(M15)-(0)</f>
        <v>0</v>
      </c>
      <c r="N16" s="5">
        <f t="shared" si="18"/>
        <v>0</v>
      </c>
      <c r="O16" s="97">
        <f t="shared" si="3"/>
        <v>41056.990000000005</v>
      </c>
    </row>
    <row r="17" spans="1:15" x14ac:dyDescent="0.25">
      <c r="A17" s="3" t="s">
        <v>6</v>
      </c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15" x14ac:dyDescent="0.25">
      <c r="A18" s="3" t="s">
        <v>7</v>
      </c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6"/>
    </row>
    <row r="19" spans="1:15" x14ac:dyDescent="0.25">
      <c r="A19" s="3" t="s">
        <v>28</v>
      </c>
      <c r="B19" s="3"/>
      <c r="C19" s="6"/>
      <c r="D19" s="6">
        <v>829.62</v>
      </c>
      <c r="E19" s="4"/>
      <c r="F19" s="4">
        <v>829.62</v>
      </c>
      <c r="G19" s="6"/>
      <c r="H19" s="4"/>
      <c r="I19" s="78"/>
      <c r="J19" s="79"/>
      <c r="K19" s="78"/>
      <c r="L19" s="78"/>
      <c r="M19" s="78"/>
      <c r="N19" s="78"/>
      <c r="O19" s="6">
        <f t="shared" ref="O19:O36" si="19">SUM(C19:N19)</f>
        <v>1659.24</v>
      </c>
    </row>
    <row r="20" spans="1:15" x14ac:dyDescent="0.25">
      <c r="A20" s="3" t="s">
        <v>17</v>
      </c>
      <c r="B20" s="3"/>
      <c r="C20" s="6">
        <v>430.45</v>
      </c>
      <c r="D20" s="6">
        <v>334.55</v>
      </c>
      <c r="E20" s="6">
        <v>430.45</v>
      </c>
      <c r="F20" s="6">
        <v>395.45</v>
      </c>
      <c r="G20" s="6">
        <v>385</v>
      </c>
      <c r="H20" s="6"/>
      <c r="I20" s="79"/>
      <c r="J20" s="79"/>
      <c r="K20" s="79"/>
      <c r="L20" s="79"/>
      <c r="M20" s="79"/>
      <c r="N20" s="79"/>
      <c r="O20" s="6">
        <f t="shared" si="19"/>
        <v>1975.9</v>
      </c>
    </row>
    <row r="21" spans="1:15" x14ac:dyDescent="0.25">
      <c r="A21" s="3" t="s">
        <v>8</v>
      </c>
      <c r="B21" s="3"/>
      <c r="C21" s="6">
        <v>436.53</v>
      </c>
      <c r="D21" s="6">
        <v>781.75</v>
      </c>
      <c r="E21" s="6">
        <v>570.91</v>
      </c>
      <c r="F21" s="6">
        <v>432.26</v>
      </c>
      <c r="G21" s="6">
        <v>472.06</v>
      </c>
      <c r="H21" s="6"/>
      <c r="I21" s="79"/>
      <c r="J21" s="79"/>
      <c r="K21" s="79"/>
      <c r="L21" s="79"/>
      <c r="M21" s="79"/>
      <c r="N21" s="79"/>
      <c r="O21" s="6">
        <f t="shared" si="19"/>
        <v>2693.5099999999998</v>
      </c>
    </row>
    <row r="22" spans="1:15" x14ac:dyDescent="0.25">
      <c r="A22" s="3" t="s">
        <v>9</v>
      </c>
      <c r="B22" s="3"/>
      <c r="C22" s="4"/>
      <c r="D22" s="4"/>
      <c r="E22" s="4"/>
      <c r="F22" s="4"/>
      <c r="G22" s="4"/>
      <c r="H22" s="4"/>
      <c r="I22" s="78"/>
      <c r="J22" s="78"/>
      <c r="K22" s="78"/>
      <c r="L22" s="78"/>
      <c r="M22" s="78"/>
      <c r="N22" s="78"/>
      <c r="O22" s="6"/>
    </row>
    <row r="23" spans="1:15" x14ac:dyDescent="0.25">
      <c r="A23" s="3" t="s">
        <v>72</v>
      </c>
      <c r="B23" s="3"/>
      <c r="C23" s="4"/>
      <c r="D23" s="4"/>
      <c r="E23" s="4"/>
      <c r="F23" s="4"/>
      <c r="G23" s="4"/>
      <c r="H23" s="4"/>
      <c r="I23" s="78"/>
      <c r="J23" s="78"/>
      <c r="K23" s="78"/>
      <c r="L23" s="78"/>
      <c r="M23" s="78"/>
      <c r="N23" s="78"/>
      <c r="O23" s="6">
        <f>SUM(C23:N23)</f>
        <v>0</v>
      </c>
    </row>
    <row r="24" spans="1:15" x14ac:dyDescent="0.25">
      <c r="A24" s="3" t="s">
        <v>11</v>
      </c>
      <c r="B24" s="3"/>
      <c r="C24" s="4"/>
      <c r="D24" s="4"/>
      <c r="E24" s="4"/>
      <c r="F24" s="4"/>
      <c r="G24" s="4"/>
      <c r="H24" s="6"/>
      <c r="I24" s="6"/>
      <c r="J24" s="6"/>
      <c r="K24" s="6"/>
      <c r="L24" s="6"/>
      <c r="M24" s="6"/>
      <c r="N24" s="6"/>
      <c r="O24" s="6">
        <f t="shared" si="19"/>
        <v>0</v>
      </c>
    </row>
    <row r="25" spans="1:15" x14ac:dyDescent="0.25">
      <c r="A25" s="3" t="s">
        <v>12</v>
      </c>
      <c r="B25" s="3"/>
      <c r="C25" s="5">
        <f>+C23+C24</f>
        <v>0</v>
      </c>
      <c r="D25" s="5">
        <f t="shared" ref="D25:N25" si="20">+D23+D24</f>
        <v>0</v>
      </c>
      <c r="E25" s="5">
        <f t="shared" si="20"/>
        <v>0</v>
      </c>
      <c r="F25" s="5">
        <f t="shared" si="20"/>
        <v>0</v>
      </c>
      <c r="G25" s="5">
        <f t="shared" si="20"/>
        <v>0</v>
      </c>
      <c r="H25" s="5">
        <f t="shared" si="20"/>
        <v>0</v>
      </c>
      <c r="I25" s="5">
        <f t="shared" si="20"/>
        <v>0</v>
      </c>
      <c r="J25" s="5">
        <f t="shared" si="20"/>
        <v>0</v>
      </c>
      <c r="K25" s="5">
        <f t="shared" si="20"/>
        <v>0</v>
      </c>
      <c r="L25" s="5">
        <f t="shared" si="20"/>
        <v>0</v>
      </c>
      <c r="M25" s="5">
        <f t="shared" si="20"/>
        <v>0</v>
      </c>
      <c r="N25" s="5">
        <f t="shared" si="20"/>
        <v>0</v>
      </c>
      <c r="O25" s="81">
        <f t="shared" si="19"/>
        <v>0</v>
      </c>
    </row>
    <row r="26" spans="1:15" x14ac:dyDescent="0.25">
      <c r="A26" s="3" t="s">
        <v>13</v>
      </c>
      <c r="B26" s="3"/>
      <c r="C26" s="6"/>
      <c r="D26" s="6"/>
      <c r="E26" s="6">
        <v>57.3</v>
      </c>
      <c r="F26" s="6"/>
      <c r="G26" s="4">
        <v>189.44</v>
      </c>
      <c r="H26" s="4"/>
      <c r="I26" s="4"/>
      <c r="J26" s="4"/>
      <c r="K26" s="4"/>
      <c r="L26" s="4"/>
      <c r="M26" s="4"/>
      <c r="N26" s="4"/>
      <c r="O26" s="6">
        <f t="shared" si="19"/>
        <v>246.74</v>
      </c>
    </row>
    <row r="27" spans="1:15" x14ac:dyDescent="0.25">
      <c r="A27" s="3" t="s">
        <v>74</v>
      </c>
      <c r="B27" s="3"/>
      <c r="C27" s="6"/>
      <c r="D27" s="6"/>
      <c r="E27" s="6"/>
      <c r="F27" s="6"/>
      <c r="G27" s="4"/>
      <c r="H27" s="4"/>
      <c r="I27" s="4"/>
      <c r="J27" s="4"/>
      <c r="K27" s="4"/>
      <c r="L27" s="4"/>
      <c r="M27" s="4"/>
      <c r="N27" s="4"/>
      <c r="O27" s="6">
        <f t="shared" si="19"/>
        <v>0</v>
      </c>
    </row>
    <row r="28" spans="1:15" x14ac:dyDescent="0.25">
      <c r="A28" s="3" t="s">
        <v>29</v>
      </c>
      <c r="B28" s="3"/>
      <c r="C28" s="6"/>
      <c r="D28" s="6"/>
      <c r="E28" s="6"/>
      <c r="F28" s="6"/>
      <c r="G28" s="4"/>
      <c r="H28" s="4"/>
      <c r="I28" s="4"/>
      <c r="J28" s="4"/>
      <c r="K28" s="4"/>
      <c r="L28" s="4"/>
      <c r="M28" s="4"/>
      <c r="N28" s="4"/>
      <c r="O28" s="6">
        <f t="shared" si="19"/>
        <v>0</v>
      </c>
    </row>
    <row r="29" spans="1:15" x14ac:dyDescent="0.25">
      <c r="A29" s="3" t="s">
        <v>30</v>
      </c>
      <c r="B29" s="3"/>
      <c r="C29" s="4"/>
      <c r="D29" s="4"/>
      <c r="E29" s="4"/>
      <c r="F29" s="4"/>
      <c r="G29" s="6">
        <v>115.91</v>
      </c>
      <c r="H29" s="4"/>
      <c r="I29" s="4"/>
      <c r="J29" s="4"/>
      <c r="K29" s="4"/>
      <c r="L29" s="4"/>
      <c r="M29" s="4"/>
      <c r="N29" s="4"/>
      <c r="O29" s="6">
        <f t="shared" si="19"/>
        <v>115.91</v>
      </c>
    </row>
    <row r="30" spans="1:15" x14ac:dyDescent="0.25">
      <c r="A30" s="3" t="s">
        <v>31</v>
      </c>
      <c r="B30" s="3"/>
      <c r="C30" s="4"/>
      <c r="D30" s="4"/>
      <c r="E30" s="4"/>
      <c r="F30" s="6"/>
      <c r="G30" s="4"/>
      <c r="H30" s="4"/>
      <c r="I30" s="4"/>
      <c r="J30" s="4"/>
      <c r="K30" s="4"/>
      <c r="L30" s="4"/>
      <c r="M30" s="4"/>
      <c r="N30" s="4"/>
      <c r="O30" s="6">
        <f t="shared" si="19"/>
        <v>0</v>
      </c>
    </row>
    <row r="31" spans="1:15" s="111" customFormat="1" x14ac:dyDescent="0.25">
      <c r="A31" s="3" t="s">
        <v>71</v>
      </c>
      <c r="B31" s="3"/>
      <c r="C31" s="4"/>
      <c r="D31" s="4"/>
      <c r="E31" s="4"/>
      <c r="F31" s="6">
        <v>79.95</v>
      </c>
      <c r="G31" s="4"/>
      <c r="H31" s="4"/>
      <c r="I31" s="4"/>
      <c r="J31" s="4"/>
      <c r="K31" s="4"/>
      <c r="L31" s="4"/>
      <c r="M31" s="4"/>
      <c r="N31" s="4"/>
      <c r="O31" s="6">
        <f t="shared" si="19"/>
        <v>79.95</v>
      </c>
    </row>
    <row r="32" spans="1:15" x14ac:dyDescent="0.25">
      <c r="A32" s="3" t="s">
        <v>32</v>
      </c>
      <c r="B32" s="3"/>
      <c r="C32" s="6">
        <v>400.13</v>
      </c>
      <c r="D32" s="6">
        <v>426.6</v>
      </c>
      <c r="E32" s="6">
        <v>404.95</v>
      </c>
      <c r="F32" s="6">
        <v>344.3</v>
      </c>
      <c r="G32" s="6">
        <v>361.96</v>
      </c>
      <c r="H32" s="6"/>
      <c r="I32" s="79"/>
      <c r="J32" s="79"/>
      <c r="K32" s="79"/>
      <c r="L32" s="79"/>
      <c r="M32" s="79"/>
      <c r="N32" s="79"/>
      <c r="O32" s="6">
        <f t="shared" si="19"/>
        <v>1937.94</v>
      </c>
    </row>
    <row r="33" spans="1:16" s="111" customFormat="1" x14ac:dyDescent="0.25">
      <c r="A33" s="3" t="s">
        <v>79</v>
      </c>
      <c r="B33" s="3"/>
      <c r="C33" s="6"/>
      <c r="D33" s="6"/>
      <c r="E33" s="6"/>
      <c r="F33" s="6"/>
      <c r="G33" s="6">
        <f>47137.12+725</f>
        <v>47862.12</v>
      </c>
      <c r="H33" s="6"/>
      <c r="I33" s="79"/>
      <c r="J33" s="79"/>
      <c r="K33" s="79"/>
      <c r="L33" s="79"/>
      <c r="M33" s="79"/>
      <c r="N33" s="79"/>
      <c r="O33" s="6">
        <f t="shared" si="19"/>
        <v>47862.12</v>
      </c>
    </row>
    <row r="34" spans="1:16" x14ac:dyDescent="0.25">
      <c r="A34" s="3" t="s">
        <v>14</v>
      </c>
      <c r="B34" s="3"/>
      <c r="C34" s="5">
        <f>+C19+C20+C21+C25+C26+C27+C28+C29+C30+C32+C31+C33</f>
        <v>1267.1100000000001</v>
      </c>
      <c r="D34" s="5">
        <f t="shared" ref="D34:N34" si="21">+D19+D20+D21+D25+D26+D27+D28+D29+D30+D32+D31+D33</f>
        <v>2372.52</v>
      </c>
      <c r="E34" s="5">
        <f t="shared" si="21"/>
        <v>1463.61</v>
      </c>
      <c r="F34" s="5">
        <f t="shared" si="21"/>
        <v>2081.58</v>
      </c>
      <c r="G34" s="5">
        <f t="shared" si="21"/>
        <v>49386.490000000005</v>
      </c>
      <c r="H34" s="5">
        <f t="shared" si="21"/>
        <v>0</v>
      </c>
      <c r="I34" s="5">
        <f t="shared" si="21"/>
        <v>0</v>
      </c>
      <c r="J34" s="5">
        <f t="shared" si="21"/>
        <v>0</v>
      </c>
      <c r="K34" s="5">
        <f t="shared" si="21"/>
        <v>0</v>
      </c>
      <c r="L34" s="5">
        <f t="shared" si="21"/>
        <v>0</v>
      </c>
      <c r="M34" s="5">
        <f t="shared" si="21"/>
        <v>0</v>
      </c>
      <c r="N34" s="5">
        <f t="shared" si="21"/>
        <v>0</v>
      </c>
      <c r="O34" s="80">
        <f t="shared" si="19"/>
        <v>56571.310000000005</v>
      </c>
    </row>
    <row r="35" spans="1:16" x14ac:dyDescent="0.25">
      <c r="A35" s="3" t="s">
        <v>15</v>
      </c>
      <c r="B35" s="3"/>
      <c r="C35" s="5">
        <f t="shared" ref="C35:N35" si="22">C34</f>
        <v>1267.1100000000001</v>
      </c>
      <c r="D35" s="5">
        <f t="shared" si="22"/>
        <v>2372.52</v>
      </c>
      <c r="E35" s="5">
        <f t="shared" si="22"/>
        <v>1463.61</v>
      </c>
      <c r="F35" s="5">
        <f t="shared" si="22"/>
        <v>2081.58</v>
      </c>
      <c r="G35" s="5">
        <f t="shared" si="22"/>
        <v>49386.490000000005</v>
      </c>
      <c r="H35" s="5">
        <f t="shared" si="22"/>
        <v>0</v>
      </c>
      <c r="I35" s="5">
        <f t="shared" si="22"/>
        <v>0</v>
      </c>
      <c r="J35" s="5">
        <f t="shared" si="22"/>
        <v>0</v>
      </c>
      <c r="K35" s="5">
        <f t="shared" si="22"/>
        <v>0</v>
      </c>
      <c r="L35" s="5">
        <f t="shared" si="22"/>
        <v>0</v>
      </c>
      <c r="M35" s="5">
        <f t="shared" si="22"/>
        <v>0</v>
      </c>
      <c r="N35" s="5">
        <f t="shared" si="22"/>
        <v>0</v>
      </c>
      <c r="O35" s="80">
        <f t="shared" si="19"/>
        <v>56571.310000000005</v>
      </c>
    </row>
    <row r="36" spans="1:16" x14ac:dyDescent="0.25">
      <c r="A36" s="3" t="s">
        <v>16</v>
      </c>
      <c r="B36" s="3"/>
      <c r="C36" s="5">
        <f>(((C16)-(C35))+(0))-(0)</f>
        <v>6009.33</v>
      </c>
      <c r="D36" s="5">
        <f t="shared" ref="D36:N36" si="23">(((D16)-(D35))+(0))-(0)</f>
        <v>6132.7199999999993</v>
      </c>
      <c r="E36" s="5">
        <f t="shared" si="23"/>
        <v>7489.0800000000008</v>
      </c>
      <c r="F36" s="5">
        <f t="shared" si="23"/>
        <v>6385.7300000000014</v>
      </c>
      <c r="G36" s="5">
        <f t="shared" si="23"/>
        <v>-41531.180000000008</v>
      </c>
      <c r="H36" s="5">
        <f t="shared" si="23"/>
        <v>0</v>
      </c>
      <c r="I36" s="5">
        <f t="shared" si="23"/>
        <v>0</v>
      </c>
      <c r="J36" s="5">
        <f t="shared" si="23"/>
        <v>0</v>
      </c>
      <c r="K36" s="5">
        <f t="shared" si="23"/>
        <v>0</v>
      </c>
      <c r="L36" s="5">
        <f t="shared" si="23"/>
        <v>0</v>
      </c>
      <c r="M36" s="5">
        <f t="shared" si="23"/>
        <v>0</v>
      </c>
      <c r="N36" s="5">
        <f t="shared" si="23"/>
        <v>0</v>
      </c>
      <c r="O36" s="81">
        <f t="shared" si="19"/>
        <v>-15514.320000000007</v>
      </c>
      <c r="P36" s="113"/>
    </row>
    <row r="37" spans="1:16" x14ac:dyDescent="0.25">
      <c r="A37" s="3"/>
      <c r="B37" s="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6" x14ac:dyDescent="0.25">
      <c r="A38" s="13" t="s">
        <v>43</v>
      </c>
      <c r="B38" s="13"/>
      <c r="C38" s="14"/>
      <c r="D38" s="14"/>
      <c r="E38" s="14"/>
      <c r="F38" s="14"/>
      <c r="G38" s="14"/>
      <c r="H38" s="15"/>
      <c r="I38" s="15"/>
      <c r="J38" s="15"/>
      <c r="K38" s="15"/>
      <c r="L38" s="15"/>
      <c r="M38" s="15"/>
      <c r="N38" s="15"/>
      <c r="O38" s="36"/>
    </row>
    <row r="39" spans="1:16" x14ac:dyDescent="0.25">
      <c r="A39" s="16" t="s">
        <v>44</v>
      </c>
      <c r="B39" s="17" t="s">
        <v>45</v>
      </c>
      <c r="C39" s="18">
        <f>C45/C43</f>
        <v>170.74828060522697</v>
      </c>
      <c r="D39" s="18">
        <f>D45/D43</f>
        <v>149.5484592873128</v>
      </c>
      <c r="E39" s="18">
        <f t="shared" ref="E39:H39" si="24">E45/E43</f>
        <v>146.99380556819906</v>
      </c>
      <c r="F39" s="18">
        <f t="shared" si="24"/>
        <v>127.09178108126898</v>
      </c>
      <c r="G39" s="18">
        <f t="shared" si="24"/>
        <v>117.88388088990038</v>
      </c>
      <c r="H39" s="18">
        <f t="shared" si="24"/>
        <v>0</v>
      </c>
      <c r="I39" s="18"/>
      <c r="J39" s="18"/>
      <c r="K39" s="18"/>
      <c r="L39" s="18"/>
      <c r="M39" s="18"/>
      <c r="N39" s="18"/>
      <c r="O39" s="37">
        <f>SUM(C39:N39)</f>
        <v>712.26620743190824</v>
      </c>
    </row>
    <row r="40" spans="1:16" x14ac:dyDescent="0.25">
      <c r="A40" s="19"/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36"/>
    </row>
    <row r="41" spans="1:16" x14ac:dyDescent="0.25">
      <c r="A41" s="16" t="s">
        <v>59</v>
      </c>
      <c r="B41" s="17" t="s">
        <v>46</v>
      </c>
      <c r="C41" s="18">
        <f>22.8/672*24*6.289</f>
        <v>5.1210428571428572</v>
      </c>
      <c r="D41" s="18">
        <f>0.0386904761904762*24*6.289</f>
        <v>5.8397857142857141</v>
      </c>
      <c r="E41" s="18">
        <v>5.8</v>
      </c>
      <c r="F41" s="18">
        <v>4.9000000000000004</v>
      </c>
      <c r="G41" s="18">
        <v>4.8</v>
      </c>
      <c r="H41" s="18">
        <v>4.5999999999999996</v>
      </c>
      <c r="I41" s="18"/>
      <c r="J41" s="18"/>
      <c r="K41" s="18"/>
      <c r="L41" s="18"/>
      <c r="M41" s="18"/>
      <c r="N41" s="18"/>
      <c r="O41" s="37">
        <f>SUM(C41:N41)/6</f>
        <v>5.1768047619047621</v>
      </c>
    </row>
    <row r="42" spans="1:16" x14ac:dyDescent="0.25">
      <c r="A42" s="19"/>
      <c r="B42" s="13"/>
      <c r="C42" s="22"/>
      <c r="D42" s="23"/>
      <c r="E42" s="14"/>
      <c r="F42" s="14"/>
      <c r="G42" s="14"/>
      <c r="H42" s="15"/>
      <c r="I42" s="15"/>
      <c r="J42" s="15"/>
      <c r="K42" s="15"/>
      <c r="L42" s="15"/>
      <c r="M42" s="15"/>
      <c r="N42" s="15"/>
      <c r="O42" s="38"/>
    </row>
    <row r="43" spans="1:16" x14ac:dyDescent="0.25">
      <c r="A43" s="16" t="s">
        <v>44</v>
      </c>
      <c r="B43" s="17" t="s">
        <v>47</v>
      </c>
      <c r="C43" s="21">
        <v>43.62</v>
      </c>
      <c r="D43" s="21">
        <v>58.09</v>
      </c>
      <c r="E43" s="24">
        <f>395.46/6.289</f>
        <v>62.881221179837809</v>
      </c>
      <c r="F43" s="24">
        <f>431.53/6.289</f>
        <v>68.616632214978537</v>
      </c>
      <c r="G43" s="24">
        <f>430.61/6.289</f>
        <v>68.470345046907298</v>
      </c>
      <c r="H43" s="25">
        <v>52.49</v>
      </c>
      <c r="I43" s="25"/>
      <c r="J43" s="25"/>
      <c r="K43" s="25"/>
      <c r="L43" s="25"/>
      <c r="M43" s="25"/>
      <c r="N43" s="25"/>
      <c r="O43" s="37">
        <f>SUM(C43:N43)/6</f>
        <v>59.028033073620612</v>
      </c>
    </row>
    <row r="44" spans="1:16" x14ac:dyDescent="0.25">
      <c r="A44" s="19"/>
      <c r="B44" s="13"/>
      <c r="C44" s="26"/>
      <c r="D44" s="26"/>
      <c r="E44" s="27"/>
      <c r="F44" s="27"/>
      <c r="G44" s="27"/>
      <c r="O44" s="39"/>
    </row>
    <row r="45" spans="1:16" x14ac:dyDescent="0.25">
      <c r="A45" s="16" t="s">
        <v>48</v>
      </c>
      <c r="B45" s="17" t="s">
        <v>49</v>
      </c>
      <c r="C45" s="28">
        <f t="shared" ref="C45:D45" si="25">+C9</f>
        <v>7448.04</v>
      </c>
      <c r="D45" s="28">
        <f t="shared" si="25"/>
        <v>8687.27</v>
      </c>
      <c r="E45" s="28">
        <f t="shared" ref="E45:H45" si="26">+E9</f>
        <v>9243.15</v>
      </c>
      <c r="F45" s="28">
        <f t="shared" si="26"/>
        <v>8720.61</v>
      </c>
      <c r="G45" s="28">
        <f t="shared" si="26"/>
        <v>8071.55</v>
      </c>
      <c r="H45" s="28"/>
      <c r="I45" s="28"/>
      <c r="J45" s="28"/>
      <c r="K45" s="28"/>
      <c r="L45" s="28"/>
      <c r="M45" s="28"/>
      <c r="N45" s="28"/>
      <c r="O45" s="92">
        <f>SUM(C45:N45)</f>
        <v>42170.62</v>
      </c>
    </row>
    <row r="46" spans="1:16" x14ac:dyDescent="0.25">
      <c r="A46" s="16" t="s">
        <v>50</v>
      </c>
      <c r="B46" s="17" t="s">
        <v>49</v>
      </c>
      <c r="C46" s="28">
        <f t="shared" ref="C46:D46" si="27">+C13</f>
        <v>-171.6</v>
      </c>
      <c r="D46" s="28">
        <f t="shared" si="27"/>
        <v>-182.03</v>
      </c>
      <c r="E46" s="28">
        <f t="shared" ref="E46:H46" si="28">+E13</f>
        <v>-290.45999999999998</v>
      </c>
      <c r="F46" s="28">
        <f t="shared" si="28"/>
        <v>-253.3</v>
      </c>
      <c r="G46" s="28">
        <f t="shared" si="28"/>
        <v>-216.24</v>
      </c>
      <c r="H46" s="28"/>
      <c r="I46" s="28"/>
      <c r="J46" s="28"/>
      <c r="K46" s="28"/>
      <c r="L46" s="28"/>
      <c r="M46" s="28"/>
      <c r="N46" s="28"/>
      <c r="O46" s="92">
        <f t="shared" ref="O46:O47" si="29">SUM(C46:N46)</f>
        <v>-1113.6299999999999</v>
      </c>
    </row>
    <row r="47" spans="1:16" x14ac:dyDescent="0.25">
      <c r="A47" s="16" t="s">
        <v>51</v>
      </c>
      <c r="B47" s="17" t="s">
        <v>49</v>
      </c>
      <c r="C47" s="28">
        <f>+C34</f>
        <v>1267.1100000000001</v>
      </c>
      <c r="D47" s="28">
        <f>+D34</f>
        <v>2372.52</v>
      </c>
      <c r="E47" s="28">
        <f t="shared" ref="E47:H47" si="30">+E34</f>
        <v>1463.61</v>
      </c>
      <c r="F47" s="28">
        <f t="shared" si="30"/>
        <v>2081.58</v>
      </c>
      <c r="G47" s="28">
        <f t="shared" si="30"/>
        <v>49386.490000000005</v>
      </c>
      <c r="H47" s="28"/>
      <c r="I47" s="28"/>
      <c r="J47" s="28"/>
      <c r="K47" s="28"/>
      <c r="L47" s="28"/>
      <c r="M47" s="28"/>
      <c r="N47" s="28"/>
      <c r="O47" s="92">
        <f t="shared" si="29"/>
        <v>56571.310000000005</v>
      </c>
    </row>
    <row r="48" spans="1:16" x14ac:dyDescent="0.25">
      <c r="A48" s="19" t="s">
        <v>48</v>
      </c>
      <c r="B48" s="20" t="s">
        <v>47</v>
      </c>
      <c r="C48" s="29">
        <f>+C45/C39</f>
        <v>43.62</v>
      </c>
      <c r="D48" s="29">
        <f>+D45/D39</f>
        <v>58.09</v>
      </c>
      <c r="E48" s="29">
        <f t="shared" ref="E48:H48" si="31">+E45/E39</f>
        <v>62.881221179837809</v>
      </c>
      <c r="F48" s="29">
        <f t="shared" si="31"/>
        <v>68.616632214978537</v>
      </c>
      <c r="G48" s="29">
        <f t="shared" si="31"/>
        <v>68.470345046907298</v>
      </c>
      <c r="H48" s="29"/>
      <c r="I48" s="29"/>
      <c r="J48" s="29"/>
      <c r="K48" s="29"/>
      <c r="L48" s="29"/>
      <c r="M48" s="29"/>
      <c r="N48" s="29"/>
      <c r="O48" s="40">
        <f>SUM(C48:N48)/6</f>
        <v>50.279699740287278</v>
      </c>
    </row>
    <row r="49" spans="1:15" x14ac:dyDescent="0.25">
      <c r="A49" s="16" t="s">
        <v>50</v>
      </c>
      <c r="B49" s="17" t="s">
        <v>47</v>
      </c>
      <c r="C49" s="30">
        <f>+C46/C39</f>
        <v>-1.0049881579583353</v>
      </c>
      <c r="D49" s="30">
        <f>+D46/D39</f>
        <v>-1.2171974279606828</v>
      </c>
      <c r="E49" s="30">
        <f t="shared" ref="E49:H49" si="32">+E46/E39</f>
        <v>-1.9760016340636783</v>
      </c>
      <c r="F49" s="30">
        <f t="shared" si="32"/>
        <v>-1.9930478418429516</v>
      </c>
      <c r="G49" s="30">
        <f t="shared" si="32"/>
        <v>-1.8343474813317435</v>
      </c>
      <c r="H49" s="30"/>
      <c r="I49" s="30"/>
      <c r="J49" s="30"/>
      <c r="K49" s="30"/>
      <c r="L49" s="30"/>
      <c r="M49" s="30"/>
      <c r="N49" s="30"/>
      <c r="O49" s="41">
        <f>SUM(C49:N49)/6</f>
        <v>-1.3375970905262318</v>
      </c>
    </row>
    <row r="50" spans="1:15" x14ac:dyDescent="0.25">
      <c r="A50" s="16" t="s">
        <v>51</v>
      </c>
      <c r="B50" s="17" t="s">
        <v>47</v>
      </c>
      <c r="C50" s="30">
        <f>+C47/C39</f>
        <v>7.4209239209241629</v>
      </c>
      <c r="D50" s="30">
        <f>+D47/D39</f>
        <v>15.864556621355154</v>
      </c>
      <c r="E50" s="30">
        <f t="shared" ref="E50:H50" si="33">+E47/E39</f>
        <v>9.9569501880876548</v>
      </c>
      <c r="F50" s="30">
        <f t="shared" si="33"/>
        <v>16.378557152086266</v>
      </c>
      <c r="G50" s="30">
        <f t="shared" si="33"/>
        <v>418.94184028540207</v>
      </c>
      <c r="H50" s="30"/>
      <c r="I50" s="30"/>
      <c r="J50" s="30"/>
      <c r="K50" s="30"/>
      <c r="L50" s="30"/>
      <c r="M50" s="30"/>
      <c r="N50" s="30"/>
      <c r="O50" s="42">
        <f>SUM(C50:N50)/6</f>
        <v>78.093804694642543</v>
      </c>
    </row>
    <row r="51" spans="1:15" x14ac:dyDescent="0.25">
      <c r="A51" s="19" t="s">
        <v>52</v>
      </c>
      <c r="B51" s="20" t="s">
        <v>47</v>
      </c>
      <c r="C51" s="29">
        <f>+C48-C49-C50</f>
        <v>37.204064237034174</v>
      </c>
      <c r="D51" s="29">
        <f>+D48-D49-D50</f>
        <v>43.442640806605532</v>
      </c>
      <c r="E51" s="29">
        <f t="shared" ref="E51:H51" si="34">+E48-E49-E50</f>
        <v>54.900272625813834</v>
      </c>
      <c r="F51" s="29">
        <f t="shared" si="34"/>
        <v>54.231122904735223</v>
      </c>
      <c r="G51" s="29">
        <f t="shared" si="34"/>
        <v>-348.63714775716301</v>
      </c>
      <c r="H51" s="29"/>
      <c r="I51" s="29"/>
      <c r="J51" s="29"/>
      <c r="K51" s="29"/>
      <c r="L51" s="29"/>
      <c r="M51" s="29"/>
      <c r="N51" s="29"/>
      <c r="O51" s="40">
        <f>SUM(C51:N51)/6</f>
        <v>-26.476507863829038</v>
      </c>
    </row>
    <row r="52" spans="1:15" x14ac:dyDescent="0.25">
      <c r="A52" s="19" t="s">
        <v>53</v>
      </c>
      <c r="B52" s="31" t="s">
        <v>54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/>
      <c r="I52" s="29"/>
      <c r="J52" s="29"/>
      <c r="K52" s="29"/>
      <c r="L52" s="29"/>
      <c r="M52" s="29"/>
      <c r="N52" s="29"/>
      <c r="O52" s="40">
        <f>SUM(C52:N52)/6</f>
        <v>0</v>
      </c>
    </row>
    <row r="53" spans="1:15" x14ac:dyDescent="0.25">
      <c r="A53" s="16" t="s">
        <v>55</v>
      </c>
      <c r="B53" s="32" t="s">
        <v>54</v>
      </c>
      <c r="C53" s="30">
        <v>0</v>
      </c>
      <c r="D53" s="30">
        <v>0</v>
      </c>
      <c r="E53" s="30">
        <v>0</v>
      </c>
      <c r="F53" s="30">
        <v>0</v>
      </c>
      <c r="G53" s="30">
        <v>0</v>
      </c>
      <c r="H53" s="30"/>
      <c r="I53" s="30"/>
      <c r="J53" s="30"/>
      <c r="K53" s="30"/>
      <c r="L53" s="30"/>
      <c r="M53" s="30"/>
      <c r="N53" s="30"/>
      <c r="O53" s="42">
        <f>SUM(C53:N53)/6</f>
        <v>0</v>
      </c>
    </row>
    <row r="54" spans="1:15" x14ac:dyDescent="0.25">
      <c r="A54" s="19" t="s">
        <v>56</v>
      </c>
      <c r="B54" s="31" t="s">
        <v>54</v>
      </c>
      <c r="C54" s="29">
        <f>+C46/C45*100</f>
        <v>-2.303961847680732</v>
      </c>
      <c r="D54" s="29">
        <f>+D46/D45*100</f>
        <v>-2.0953648269249143</v>
      </c>
      <c r="E54" s="29">
        <f t="shared" ref="E54:H54" si="35">+E46/E45*100</f>
        <v>-3.1424352087762286</v>
      </c>
      <c r="F54" s="29">
        <f t="shared" si="35"/>
        <v>-2.9046133240679262</v>
      </c>
      <c r="G54" s="29">
        <f t="shared" si="35"/>
        <v>-2.679039341886007</v>
      </c>
      <c r="H54" s="29"/>
      <c r="I54" s="29"/>
      <c r="J54" s="29"/>
      <c r="K54" s="29"/>
      <c r="L54" s="29"/>
      <c r="M54" s="29"/>
      <c r="N54" s="29"/>
      <c r="O54" s="40">
        <f>SUM(C54:N54)/6</f>
        <v>-2.187569091555968</v>
      </c>
    </row>
    <row r="55" spans="1:15" x14ac:dyDescent="0.25">
      <c r="A55" s="16" t="s">
        <v>57</v>
      </c>
      <c r="B55" s="32" t="s">
        <v>54</v>
      </c>
      <c r="C55" s="30">
        <f>C47/C45*100</f>
        <v>17.012663734351591</v>
      </c>
      <c r="D55" s="30">
        <f>D47/D45*100</f>
        <v>27.310305769246263</v>
      </c>
      <c r="E55" s="30">
        <f t="shared" ref="E55:H55" si="36">E47/E45*100</f>
        <v>15.834536927346196</v>
      </c>
      <c r="F55" s="30">
        <f t="shared" si="36"/>
        <v>23.869660493933335</v>
      </c>
      <c r="G55" s="30">
        <f t="shared" si="36"/>
        <v>611.85881274352516</v>
      </c>
      <c r="H55" s="30"/>
      <c r="I55" s="30"/>
      <c r="J55" s="30"/>
      <c r="K55" s="30"/>
      <c r="L55" s="30"/>
      <c r="M55" s="30"/>
      <c r="N55" s="30"/>
      <c r="O55" s="41">
        <f>SUM(C55:N55)/6</f>
        <v>115.98099661140043</v>
      </c>
    </row>
    <row r="56" spans="1:15" x14ac:dyDescent="0.25">
      <c r="A56" s="33" t="s">
        <v>58</v>
      </c>
      <c r="B56" s="34" t="s">
        <v>54</v>
      </c>
      <c r="C56" s="35">
        <f>C47/(C45+C46)*100</f>
        <v>17.413872717977476</v>
      </c>
      <c r="D56" s="35">
        <f>D47/(D45+D46)*100</f>
        <v>27.894803673970397</v>
      </c>
      <c r="E56" s="35">
        <f t="shared" ref="E56:H56" si="37">E47/(E45+E46)*100</f>
        <v>16.34827074320679</v>
      </c>
      <c r="F56" s="35">
        <f t="shared" si="37"/>
        <v>24.583722575410604</v>
      </c>
      <c r="G56" s="35">
        <f t="shared" si="37"/>
        <v>628.70198629971321</v>
      </c>
      <c r="H56" s="35"/>
      <c r="I56" s="35"/>
      <c r="J56" s="35"/>
      <c r="K56" s="35"/>
      <c r="L56" s="35"/>
      <c r="M56" s="35"/>
      <c r="N56" s="35"/>
      <c r="O56" s="42">
        <f>SUM(C56:N56)/6</f>
        <v>119.15710933504641</v>
      </c>
    </row>
  </sheetData>
  <mergeCells count="3">
    <mergeCell ref="A1:O1"/>
    <mergeCell ref="A2:O2"/>
    <mergeCell ref="A3:N3"/>
  </mergeCells>
  <printOptions horizontalCentered="1"/>
  <pageMargins left="0.23622047244094491" right="0.23622047244094491" top="0.74803149606299213" bottom="0.74803149606299213" header="0.31496062992125984" footer="0.31496062992125984"/>
  <pageSetup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55"/>
  <sheetViews>
    <sheetView topLeftCell="A35" workbookViewId="0">
      <selection activeCell="O56" sqref="O56"/>
    </sheetView>
  </sheetViews>
  <sheetFormatPr defaultRowHeight="15" x14ac:dyDescent="0.25"/>
  <cols>
    <col min="1" max="1" width="33.85546875" customWidth="1"/>
    <col min="2" max="2" width="7.140625" customWidth="1"/>
    <col min="15" max="15" width="9.5703125" bestFit="1" customWidth="1"/>
  </cols>
  <sheetData>
    <row r="1" spans="1:15" ht="18" x14ac:dyDescent="0.25">
      <c r="A1" s="118" t="s">
        <v>0</v>
      </c>
      <c r="B1" s="118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</row>
    <row r="2" spans="1:15" ht="18" x14ac:dyDescent="0.25">
      <c r="A2" s="118" t="s">
        <v>33</v>
      </c>
      <c r="B2" s="118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</row>
    <row r="3" spans="1:15" x14ac:dyDescent="0.25">
      <c r="A3" s="116" t="str">
        <f>+'100 5-30-9-7 '!A3:N3</f>
        <v xml:space="preserve">January 2019 - 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</row>
    <row r="4" spans="1:15" x14ac:dyDescent="0.25">
      <c r="N4" s="99"/>
    </row>
    <row r="5" spans="1:15" x14ac:dyDescent="0.25">
      <c r="A5" s="1"/>
      <c r="C5" s="109">
        <v>43466</v>
      </c>
      <c r="D5" s="109">
        <v>43514</v>
      </c>
      <c r="E5" s="109">
        <v>43542</v>
      </c>
      <c r="F5" s="109">
        <v>43573</v>
      </c>
      <c r="G5" s="109">
        <v>43603</v>
      </c>
      <c r="H5" s="109">
        <v>43634</v>
      </c>
      <c r="I5" s="109">
        <v>43664</v>
      </c>
      <c r="J5" s="109">
        <v>43695</v>
      </c>
      <c r="K5" s="109">
        <v>43726</v>
      </c>
      <c r="L5" s="109">
        <v>43756</v>
      </c>
      <c r="M5" s="109">
        <v>43787</v>
      </c>
      <c r="N5" s="109">
        <v>43817</v>
      </c>
      <c r="O5" s="2" t="s">
        <v>2</v>
      </c>
    </row>
    <row r="6" spans="1:15" ht="15" customHeight="1" x14ac:dyDescent="0.25">
      <c r="A6" s="7" t="s">
        <v>3</v>
      </c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15" customHeight="1" x14ac:dyDescent="0.25">
      <c r="A7" s="7" t="s">
        <v>21</v>
      </c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9"/>
    </row>
    <row r="8" spans="1:15" ht="15" customHeight="1" x14ac:dyDescent="0.25">
      <c r="A8" s="7" t="s">
        <v>22</v>
      </c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9"/>
    </row>
    <row r="9" spans="1:15" ht="15" customHeight="1" x14ac:dyDescent="0.25">
      <c r="A9" s="7" t="s">
        <v>23</v>
      </c>
      <c r="B9" s="7"/>
      <c r="C9" s="9">
        <v>5052.09</v>
      </c>
      <c r="D9" s="9">
        <v>5147.12</v>
      </c>
      <c r="E9" s="9">
        <v>5476.47</v>
      </c>
      <c r="F9" s="9">
        <v>9453.73</v>
      </c>
      <c r="G9" s="9">
        <v>8750.1</v>
      </c>
      <c r="H9" s="9">
        <v>5763.52</v>
      </c>
      <c r="I9" s="79"/>
      <c r="J9" s="79"/>
      <c r="K9" s="79"/>
      <c r="L9" s="79"/>
      <c r="M9" s="79"/>
      <c r="N9" s="79"/>
      <c r="O9" s="9">
        <f>SUM(C9:N9)</f>
        <v>39643.03</v>
      </c>
    </row>
    <row r="10" spans="1:15" ht="15" customHeight="1" x14ac:dyDescent="0.25">
      <c r="A10" s="7" t="s">
        <v>24</v>
      </c>
      <c r="B10" s="7"/>
      <c r="C10" s="82">
        <f t="shared" ref="C10:H10" si="0">(C8)+(C9)</f>
        <v>5052.09</v>
      </c>
      <c r="D10" s="82">
        <f t="shared" si="0"/>
        <v>5147.12</v>
      </c>
      <c r="E10" s="82">
        <f t="shared" si="0"/>
        <v>5476.47</v>
      </c>
      <c r="F10" s="82">
        <f t="shared" si="0"/>
        <v>9453.73</v>
      </c>
      <c r="G10" s="82">
        <f t="shared" si="0"/>
        <v>8750.1</v>
      </c>
      <c r="H10" s="82">
        <f t="shared" si="0"/>
        <v>5763.52</v>
      </c>
      <c r="I10" s="82">
        <f t="shared" ref="I10:J10" si="1">(I8)+(I9)</f>
        <v>0</v>
      </c>
      <c r="J10" s="82">
        <f t="shared" si="1"/>
        <v>0</v>
      </c>
      <c r="K10" s="82">
        <f t="shared" ref="K10:L10" si="2">(K8)+(K9)</f>
        <v>0</v>
      </c>
      <c r="L10" s="82">
        <f t="shared" si="2"/>
        <v>0</v>
      </c>
      <c r="M10" s="82">
        <f t="shared" ref="M10:N10" si="3">(M8)+(M9)</f>
        <v>0</v>
      </c>
      <c r="N10" s="82">
        <f t="shared" si="3"/>
        <v>0</v>
      </c>
      <c r="O10" s="105">
        <f t="shared" ref="O10:O16" si="4">SUM(C10:N10)</f>
        <v>39643.03</v>
      </c>
    </row>
    <row r="11" spans="1:15" ht="15" customHeight="1" x14ac:dyDescent="0.25">
      <c r="A11" s="7" t="s">
        <v>25</v>
      </c>
      <c r="B11" s="7"/>
      <c r="C11" s="10">
        <f>SUM(C10)</f>
        <v>5052.09</v>
      </c>
      <c r="D11" s="10">
        <f t="shared" ref="D11:L11" si="5">SUM(D10)</f>
        <v>5147.12</v>
      </c>
      <c r="E11" s="10">
        <f t="shared" si="5"/>
        <v>5476.47</v>
      </c>
      <c r="F11" s="10">
        <f t="shared" si="5"/>
        <v>9453.73</v>
      </c>
      <c r="G11" s="10">
        <f t="shared" si="5"/>
        <v>8750.1</v>
      </c>
      <c r="H11" s="10">
        <f t="shared" si="5"/>
        <v>5763.52</v>
      </c>
      <c r="I11" s="10">
        <f t="shared" si="5"/>
        <v>0</v>
      </c>
      <c r="J11" s="10">
        <f t="shared" si="5"/>
        <v>0</v>
      </c>
      <c r="K11" s="10">
        <f t="shared" si="5"/>
        <v>0</v>
      </c>
      <c r="L11" s="10">
        <f t="shared" si="5"/>
        <v>0</v>
      </c>
      <c r="M11" s="10">
        <f t="shared" ref="M11:N11" si="6">SUM(M10)</f>
        <v>0</v>
      </c>
      <c r="N11" s="10">
        <f t="shared" si="6"/>
        <v>0</v>
      </c>
      <c r="O11" s="103">
        <f t="shared" si="4"/>
        <v>39643.03</v>
      </c>
    </row>
    <row r="12" spans="1:15" ht="15" customHeight="1" x14ac:dyDescent="0.25">
      <c r="A12" s="7" t="s">
        <v>26</v>
      </c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9"/>
    </row>
    <row r="13" spans="1:15" ht="15" customHeight="1" x14ac:dyDescent="0.25">
      <c r="A13" s="7" t="s">
        <v>34</v>
      </c>
      <c r="B13" s="7"/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101">
        <f t="shared" si="4"/>
        <v>0</v>
      </c>
    </row>
    <row r="14" spans="1:15" ht="15" customHeight="1" x14ac:dyDescent="0.25">
      <c r="A14" s="7" t="s">
        <v>27</v>
      </c>
      <c r="B14" s="7"/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3">
        <f t="shared" si="4"/>
        <v>0</v>
      </c>
    </row>
    <row r="15" spans="1:15" ht="15" customHeight="1" x14ac:dyDescent="0.25">
      <c r="A15" s="7" t="s">
        <v>4</v>
      </c>
      <c r="B15" s="7"/>
      <c r="C15" s="10">
        <f>+C11</f>
        <v>5052.09</v>
      </c>
      <c r="D15" s="10">
        <f t="shared" ref="D15:L15" si="7">+D11</f>
        <v>5147.12</v>
      </c>
      <c r="E15" s="10">
        <f t="shared" si="7"/>
        <v>5476.47</v>
      </c>
      <c r="F15" s="10">
        <f t="shared" si="7"/>
        <v>9453.73</v>
      </c>
      <c r="G15" s="10">
        <f t="shared" si="7"/>
        <v>8750.1</v>
      </c>
      <c r="H15" s="10">
        <f t="shared" si="7"/>
        <v>5763.52</v>
      </c>
      <c r="I15" s="10">
        <f t="shared" si="7"/>
        <v>0</v>
      </c>
      <c r="J15" s="10">
        <f t="shared" si="7"/>
        <v>0</v>
      </c>
      <c r="K15" s="10">
        <f t="shared" si="7"/>
        <v>0</v>
      </c>
      <c r="L15" s="10">
        <f t="shared" si="7"/>
        <v>0</v>
      </c>
      <c r="M15" s="10">
        <f t="shared" ref="M15:N15" si="8">+M11</f>
        <v>0</v>
      </c>
      <c r="N15" s="10">
        <f t="shared" si="8"/>
        <v>0</v>
      </c>
      <c r="O15" s="103">
        <f t="shared" si="4"/>
        <v>39643.03</v>
      </c>
    </row>
    <row r="16" spans="1:15" ht="15" customHeight="1" x14ac:dyDescent="0.25">
      <c r="A16" s="7" t="s">
        <v>5</v>
      </c>
      <c r="B16" s="7"/>
      <c r="C16" s="10">
        <f>+C15</f>
        <v>5052.09</v>
      </c>
      <c r="D16" s="10">
        <f t="shared" ref="D16:L16" si="9">+D15</f>
        <v>5147.12</v>
      </c>
      <c r="E16" s="10">
        <f t="shared" si="9"/>
        <v>5476.47</v>
      </c>
      <c r="F16" s="10">
        <f t="shared" si="9"/>
        <v>9453.73</v>
      </c>
      <c r="G16" s="10">
        <f t="shared" si="9"/>
        <v>8750.1</v>
      </c>
      <c r="H16" s="10">
        <f t="shared" si="9"/>
        <v>5763.52</v>
      </c>
      <c r="I16" s="10">
        <f t="shared" si="9"/>
        <v>0</v>
      </c>
      <c r="J16" s="10">
        <f t="shared" si="9"/>
        <v>0</v>
      </c>
      <c r="K16" s="10">
        <f t="shared" si="9"/>
        <v>0</v>
      </c>
      <c r="L16" s="10">
        <f t="shared" si="9"/>
        <v>0</v>
      </c>
      <c r="M16" s="10">
        <f t="shared" ref="M16:N16" si="10">+M15</f>
        <v>0</v>
      </c>
      <c r="N16" s="10">
        <f t="shared" si="10"/>
        <v>0</v>
      </c>
      <c r="O16" s="103">
        <f t="shared" si="4"/>
        <v>39643.03</v>
      </c>
    </row>
    <row r="17" spans="1:15" ht="15" customHeight="1" x14ac:dyDescent="0.25">
      <c r="A17" s="7" t="s">
        <v>6</v>
      </c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ht="15" customHeight="1" x14ac:dyDescent="0.25">
      <c r="A18" s="7" t="s">
        <v>7</v>
      </c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9"/>
    </row>
    <row r="19" spans="1:15" ht="15" customHeight="1" x14ac:dyDescent="0.25">
      <c r="A19" s="7" t="s">
        <v>28</v>
      </c>
      <c r="B19" s="7"/>
      <c r="C19" s="9"/>
      <c r="D19" s="8"/>
      <c r="E19" s="8"/>
      <c r="F19" s="8"/>
      <c r="G19" s="8"/>
      <c r="H19" s="8"/>
      <c r="I19" s="79"/>
      <c r="J19" s="79"/>
      <c r="K19" s="78"/>
      <c r="L19" s="78"/>
      <c r="M19" s="78"/>
      <c r="N19" s="78"/>
      <c r="O19" s="104">
        <f t="shared" ref="O19:O21" si="11">SUM(C19:N19)</f>
        <v>0</v>
      </c>
    </row>
    <row r="20" spans="1:15" ht="15" customHeight="1" x14ac:dyDescent="0.25">
      <c r="A20" s="7" t="s">
        <v>17</v>
      </c>
      <c r="B20" s="7"/>
      <c r="C20" s="9">
        <v>505.46</v>
      </c>
      <c r="D20" s="9">
        <v>334.55</v>
      </c>
      <c r="E20" s="9">
        <v>430.45</v>
      </c>
      <c r="F20" s="9">
        <v>395.45</v>
      </c>
      <c r="G20" s="9">
        <v>385</v>
      </c>
      <c r="H20" s="9">
        <v>812.28</v>
      </c>
      <c r="I20" s="79"/>
      <c r="J20" s="79"/>
      <c r="K20" s="79"/>
      <c r="L20" s="79"/>
      <c r="M20" s="79"/>
      <c r="N20" s="79"/>
      <c r="O20" s="104">
        <f t="shared" si="11"/>
        <v>2863.1899999999996</v>
      </c>
    </row>
    <row r="21" spans="1:15" ht="15" customHeight="1" x14ac:dyDescent="0.25">
      <c r="A21" s="7" t="s">
        <v>8</v>
      </c>
      <c r="B21" s="7"/>
      <c r="C21" s="9">
        <v>290.64999999999998</v>
      </c>
      <c r="D21" s="9">
        <v>466.67</v>
      </c>
      <c r="E21" s="9">
        <v>354.09</v>
      </c>
      <c r="F21" s="9">
        <v>281.77</v>
      </c>
      <c r="G21" s="9">
        <v>363.77</v>
      </c>
      <c r="H21" s="9">
        <v>317.5</v>
      </c>
      <c r="I21" s="79"/>
      <c r="J21" s="79"/>
      <c r="K21" s="79"/>
      <c r="L21" s="79"/>
      <c r="M21" s="79"/>
      <c r="N21" s="79"/>
      <c r="O21" s="104">
        <f t="shared" si="11"/>
        <v>2074.4499999999998</v>
      </c>
    </row>
    <row r="22" spans="1:15" ht="15" customHeight="1" x14ac:dyDescent="0.25">
      <c r="A22" s="7" t="s">
        <v>9</v>
      </c>
      <c r="B22" s="7"/>
      <c r="C22" s="8"/>
      <c r="D22" s="8"/>
      <c r="E22" s="8"/>
      <c r="F22" s="8"/>
      <c r="G22" s="8"/>
      <c r="H22" s="8"/>
      <c r="I22" s="78"/>
      <c r="J22" s="78"/>
      <c r="K22" s="78"/>
      <c r="L22" s="78"/>
      <c r="M22" s="78"/>
      <c r="N22" s="78"/>
      <c r="O22" s="9"/>
    </row>
    <row r="23" spans="1:15" ht="15" customHeight="1" x14ac:dyDescent="0.25">
      <c r="A23" s="7" t="s">
        <v>11</v>
      </c>
      <c r="B23" s="7"/>
      <c r="C23" s="8"/>
      <c r="D23" s="8"/>
      <c r="E23" s="9">
        <v>4560</v>
      </c>
      <c r="F23" s="8"/>
      <c r="G23" s="8"/>
      <c r="H23" s="8"/>
      <c r="I23" s="78"/>
      <c r="J23" s="78"/>
      <c r="K23" s="78"/>
      <c r="L23" s="78"/>
      <c r="M23" s="78"/>
      <c r="N23" s="78"/>
      <c r="O23" s="102">
        <f t="shared" ref="O23:O35" si="12">SUM(C23:N23)</f>
        <v>4560</v>
      </c>
    </row>
    <row r="24" spans="1:15" ht="15" customHeight="1" x14ac:dyDescent="0.25">
      <c r="A24" s="7" t="s">
        <v>12</v>
      </c>
      <c r="B24" s="7"/>
      <c r="C24" s="82">
        <f t="shared" ref="C24:H24" si="13">(C22)+(C23)</f>
        <v>0</v>
      </c>
      <c r="D24" s="82">
        <f t="shared" si="13"/>
        <v>0</v>
      </c>
      <c r="E24" s="82">
        <f t="shared" si="13"/>
        <v>4560</v>
      </c>
      <c r="F24" s="82">
        <f t="shared" si="13"/>
        <v>0</v>
      </c>
      <c r="G24" s="82">
        <f t="shared" si="13"/>
        <v>0</v>
      </c>
      <c r="H24" s="82">
        <f t="shared" si="13"/>
        <v>0</v>
      </c>
      <c r="I24" s="82">
        <f t="shared" ref="I24" si="14">(I22)+(I23)</f>
        <v>0</v>
      </c>
      <c r="J24" s="82">
        <f t="shared" ref="J24:N24" si="15">(J22)+(J23)</f>
        <v>0</v>
      </c>
      <c r="K24" s="82">
        <f t="shared" si="15"/>
        <v>0</v>
      </c>
      <c r="L24" s="82">
        <f t="shared" si="15"/>
        <v>0</v>
      </c>
      <c r="M24" s="82">
        <f t="shared" si="15"/>
        <v>0</v>
      </c>
      <c r="N24" s="82">
        <f t="shared" si="15"/>
        <v>0</v>
      </c>
      <c r="O24" s="103">
        <f t="shared" si="12"/>
        <v>4560</v>
      </c>
    </row>
    <row r="25" spans="1:15" ht="15" customHeight="1" x14ac:dyDescent="0.25">
      <c r="A25" s="7" t="s">
        <v>13</v>
      </c>
      <c r="B25" s="7"/>
      <c r="C25" s="9"/>
      <c r="D25" s="9"/>
      <c r="E25" s="9">
        <v>57.3</v>
      </c>
      <c r="F25" s="9"/>
      <c r="G25" s="8">
        <v>138.47999999999999</v>
      </c>
      <c r="H25" s="8"/>
      <c r="I25" s="78"/>
      <c r="J25" s="79"/>
      <c r="K25" s="79"/>
      <c r="L25" s="79"/>
      <c r="M25" s="79"/>
      <c r="N25" s="79"/>
      <c r="O25" s="104">
        <f t="shared" si="12"/>
        <v>195.77999999999997</v>
      </c>
    </row>
    <row r="26" spans="1:15" ht="15" customHeight="1" x14ac:dyDescent="0.25">
      <c r="A26" s="7" t="s">
        <v>74</v>
      </c>
      <c r="B26" s="7"/>
      <c r="C26" s="9"/>
      <c r="D26" s="9"/>
      <c r="E26" s="9"/>
      <c r="F26" s="9"/>
      <c r="G26" s="8"/>
      <c r="H26" s="8"/>
      <c r="I26" s="78"/>
      <c r="J26" s="79"/>
      <c r="K26" s="79"/>
      <c r="L26" s="79"/>
      <c r="M26" s="79"/>
      <c r="N26" s="79"/>
      <c r="O26" s="104">
        <f t="shared" si="12"/>
        <v>0</v>
      </c>
    </row>
    <row r="27" spans="1:15" ht="15" customHeight="1" x14ac:dyDescent="0.25">
      <c r="A27" s="89" t="s">
        <v>29</v>
      </c>
      <c r="B27" s="7"/>
      <c r="C27" s="9"/>
      <c r="D27" s="9"/>
      <c r="E27" s="9"/>
      <c r="F27" s="9"/>
      <c r="G27" s="8"/>
      <c r="H27" s="8"/>
      <c r="I27" s="78"/>
      <c r="J27" s="79"/>
      <c r="K27" s="79"/>
      <c r="L27" s="79"/>
      <c r="M27" s="79"/>
      <c r="N27" s="79"/>
      <c r="O27" s="104">
        <f t="shared" si="12"/>
        <v>0</v>
      </c>
    </row>
    <row r="28" spans="1:15" ht="15" customHeight="1" x14ac:dyDescent="0.25">
      <c r="A28" s="7" t="s">
        <v>30</v>
      </c>
      <c r="B28" s="7"/>
      <c r="C28" s="8"/>
      <c r="D28" s="8"/>
      <c r="E28" s="8"/>
      <c r="F28" s="8"/>
      <c r="G28" s="9">
        <v>115.91</v>
      </c>
      <c r="H28" s="8"/>
      <c r="I28" s="78"/>
      <c r="J28" s="78"/>
      <c r="K28" s="78"/>
      <c r="L28" s="78"/>
      <c r="M28" s="78"/>
      <c r="N28" s="78"/>
      <c r="O28" s="104">
        <f t="shared" si="12"/>
        <v>115.91</v>
      </c>
    </row>
    <row r="29" spans="1:15" ht="15" customHeight="1" x14ac:dyDescent="0.25">
      <c r="A29" s="89" t="s">
        <v>18</v>
      </c>
      <c r="B29" s="7"/>
      <c r="C29" s="8"/>
      <c r="D29" s="8"/>
      <c r="E29" s="8"/>
      <c r="F29" s="8"/>
      <c r="G29" s="9">
        <v>335.8</v>
      </c>
      <c r="H29" s="8"/>
      <c r="I29" s="78"/>
      <c r="J29" s="78"/>
      <c r="K29" s="78"/>
      <c r="L29" s="79"/>
      <c r="M29" s="79"/>
      <c r="N29" s="79"/>
      <c r="O29" s="104">
        <f t="shared" si="12"/>
        <v>335.8</v>
      </c>
    </row>
    <row r="30" spans="1:15" ht="15" customHeight="1" x14ac:dyDescent="0.25">
      <c r="A30" s="7" t="s">
        <v>31</v>
      </c>
      <c r="B30" s="7"/>
      <c r="C30" s="8">
        <v>163.62</v>
      </c>
      <c r="D30" s="8"/>
      <c r="E30" s="8"/>
      <c r="F30" s="9"/>
      <c r="G30" s="8"/>
      <c r="H30" s="8"/>
      <c r="I30" s="8"/>
      <c r="J30" s="8"/>
      <c r="K30" s="8"/>
      <c r="M30" s="106"/>
      <c r="O30" s="104">
        <f t="shared" si="12"/>
        <v>163.62</v>
      </c>
    </row>
    <row r="31" spans="1:15" s="111" customFormat="1" ht="15" customHeight="1" x14ac:dyDescent="0.25">
      <c r="A31" s="7" t="s">
        <v>71</v>
      </c>
      <c r="B31" s="7"/>
      <c r="C31" s="8"/>
      <c r="D31" s="8"/>
      <c r="E31" s="8"/>
      <c r="F31" s="9">
        <v>79.95</v>
      </c>
      <c r="G31" s="8"/>
      <c r="H31" s="8"/>
      <c r="I31" s="8"/>
      <c r="J31" s="8"/>
      <c r="K31" s="8"/>
      <c r="M31" s="106"/>
      <c r="O31" s="104">
        <f t="shared" si="12"/>
        <v>79.95</v>
      </c>
    </row>
    <row r="32" spans="1:15" ht="15" customHeight="1" x14ac:dyDescent="0.25">
      <c r="A32" s="7" t="s">
        <v>32</v>
      </c>
      <c r="B32" s="7"/>
      <c r="C32" s="9">
        <v>271.41000000000003</v>
      </c>
      <c r="D32" s="9">
        <v>252.75</v>
      </c>
      <c r="E32" s="9">
        <v>239.93</v>
      </c>
      <c r="F32" s="9">
        <v>373.25</v>
      </c>
      <c r="G32" s="9">
        <v>391.98</v>
      </c>
      <c r="H32" s="9">
        <f>622.96+40.57+55.12</f>
        <v>718.65000000000009</v>
      </c>
      <c r="I32" s="79"/>
      <c r="J32" s="79"/>
      <c r="K32" s="79"/>
      <c r="L32" s="79"/>
      <c r="M32" s="79"/>
      <c r="N32" s="79"/>
      <c r="O32" s="102">
        <f t="shared" si="12"/>
        <v>2247.9700000000003</v>
      </c>
    </row>
    <row r="33" spans="1:15" ht="15" customHeight="1" x14ac:dyDescent="0.25">
      <c r="A33" s="7" t="s">
        <v>14</v>
      </c>
      <c r="B33" s="7"/>
      <c r="C33" s="90">
        <f>+C19+C20+C21+C24+C25+C26+C27+C28+C29+C30+C32+C31</f>
        <v>1231.1399999999999</v>
      </c>
      <c r="D33" s="90">
        <f t="shared" ref="D33:N33" si="16">+D19+D20+D21+D24+D25+D26+D27+D28+D29+D30+D32+D31</f>
        <v>1053.97</v>
      </c>
      <c r="E33" s="90">
        <f t="shared" si="16"/>
        <v>5641.77</v>
      </c>
      <c r="F33" s="90">
        <f t="shared" si="16"/>
        <v>1130.42</v>
      </c>
      <c r="G33" s="90">
        <f t="shared" si="16"/>
        <v>1730.94</v>
      </c>
      <c r="H33" s="90">
        <f t="shared" si="16"/>
        <v>1848.43</v>
      </c>
      <c r="I33" s="90">
        <f t="shared" si="16"/>
        <v>0</v>
      </c>
      <c r="J33" s="90">
        <f t="shared" si="16"/>
        <v>0</v>
      </c>
      <c r="K33" s="90">
        <f t="shared" si="16"/>
        <v>0</v>
      </c>
      <c r="L33" s="90">
        <f t="shared" si="16"/>
        <v>0</v>
      </c>
      <c r="M33" s="90">
        <f t="shared" si="16"/>
        <v>0</v>
      </c>
      <c r="N33" s="90">
        <f t="shared" si="16"/>
        <v>0</v>
      </c>
      <c r="O33" s="103">
        <f t="shared" si="12"/>
        <v>12636.67</v>
      </c>
    </row>
    <row r="34" spans="1:15" ht="15" customHeight="1" x14ac:dyDescent="0.25">
      <c r="A34" s="7" t="s">
        <v>15</v>
      </c>
      <c r="B34" s="7"/>
      <c r="C34" s="10">
        <f>+C33</f>
        <v>1231.1399999999999</v>
      </c>
      <c r="D34" s="10">
        <f t="shared" ref="D34:N34" si="17">+D33</f>
        <v>1053.97</v>
      </c>
      <c r="E34" s="10">
        <f t="shared" si="17"/>
        <v>5641.77</v>
      </c>
      <c r="F34" s="10">
        <f t="shared" si="17"/>
        <v>1130.42</v>
      </c>
      <c r="G34" s="10">
        <f t="shared" si="17"/>
        <v>1730.94</v>
      </c>
      <c r="H34" s="10">
        <f t="shared" si="17"/>
        <v>1848.43</v>
      </c>
      <c r="I34" s="10">
        <f t="shared" si="17"/>
        <v>0</v>
      </c>
      <c r="J34" s="10">
        <f t="shared" si="17"/>
        <v>0</v>
      </c>
      <c r="K34" s="10">
        <f t="shared" si="17"/>
        <v>0</v>
      </c>
      <c r="L34" s="10">
        <f t="shared" si="17"/>
        <v>0</v>
      </c>
      <c r="M34" s="10">
        <f t="shared" si="17"/>
        <v>0</v>
      </c>
      <c r="N34" s="10">
        <f t="shared" si="17"/>
        <v>0</v>
      </c>
      <c r="O34" s="103">
        <f t="shared" si="12"/>
        <v>12636.67</v>
      </c>
    </row>
    <row r="35" spans="1:15" ht="15" customHeight="1" x14ac:dyDescent="0.25">
      <c r="A35" s="7" t="s">
        <v>16</v>
      </c>
      <c r="B35" s="7"/>
      <c r="C35" s="10">
        <f t="shared" ref="C35:L35" si="18">+C16-C34</f>
        <v>3820.9500000000003</v>
      </c>
      <c r="D35" s="10">
        <f t="shared" ref="D35:N35" si="19">+D16-D34</f>
        <v>4093.1499999999996</v>
      </c>
      <c r="E35" s="10">
        <f t="shared" si="19"/>
        <v>-165.30000000000018</v>
      </c>
      <c r="F35" s="10">
        <f t="shared" si="19"/>
        <v>8323.31</v>
      </c>
      <c r="G35" s="10">
        <f t="shared" si="19"/>
        <v>7019.16</v>
      </c>
      <c r="H35" s="10">
        <f t="shared" si="19"/>
        <v>3915.09</v>
      </c>
      <c r="I35" s="10">
        <f t="shared" si="19"/>
        <v>0</v>
      </c>
      <c r="J35" s="10">
        <f t="shared" si="19"/>
        <v>0</v>
      </c>
      <c r="K35" s="10">
        <f t="shared" si="19"/>
        <v>0</v>
      </c>
      <c r="L35" s="10">
        <f t="shared" si="19"/>
        <v>0</v>
      </c>
      <c r="M35" s="10">
        <f t="shared" si="19"/>
        <v>0</v>
      </c>
      <c r="N35" s="10">
        <f t="shared" si="19"/>
        <v>0</v>
      </c>
      <c r="O35" s="103">
        <f t="shared" si="12"/>
        <v>27006.36</v>
      </c>
    </row>
    <row r="37" spans="1:15" x14ac:dyDescent="0.25">
      <c r="A37" s="13" t="s">
        <v>43</v>
      </c>
      <c r="B37" s="13"/>
      <c r="C37" s="14"/>
      <c r="D37" s="14"/>
      <c r="E37" s="14"/>
      <c r="F37" s="14"/>
      <c r="G37" s="14"/>
      <c r="H37" s="15"/>
      <c r="I37" s="15"/>
      <c r="J37" s="15"/>
      <c r="K37" s="15"/>
      <c r="L37" s="15"/>
      <c r="M37" s="15"/>
      <c r="N37" s="15"/>
      <c r="O37" s="36"/>
    </row>
    <row r="38" spans="1:15" x14ac:dyDescent="0.25">
      <c r="A38" s="16" t="s">
        <v>44</v>
      </c>
      <c r="B38" s="17" t="s">
        <v>45</v>
      </c>
      <c r="C38" s="18">
        <f>C44/C42</f>
        <v>115.82049518569464</v>
      </c>
      <c r="D38" s="18">
        <f>D44/D42</f>
        <v>88.605956274746077</v>
      </c>
      <c r="E38" s="18">
        <f t="shared" ref="E38:H38" si="20">E44/E42</f>
        <v>87.092297147625558</v>
      </c>
      <c r="F38" s="18">
        <f t="shared" si="20"/>
        <v>137.77607111904155</v>
      </c>
      <c r="G38" s="18">
        <f t="shared" si="20"/>
        <v>127.79401058962867</v>
      </c>
      <c r="H38" s="18">
        <f t="shared" si="20"/>
        <v>109.8022480472471</v>
      </c>
      <c r="I38" s="18"/>
      <c r="J38" s="18"/>
      <c r="K38" s="18"/>
      <c r="L38" s="18"/>
      <c r="M38" s="18"/>
      <c r="N38" s="18"/>
      <c r="O38" s="37">
        <f>SUM(C38:N38)</f>
        <v>666.89107836398352</v>
      </c>
    </row>
    <row r="39" spans="1:15" x14ac:dyDescent="0.25">
      <c r="A39" s="19"/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36"/>
    </row>
    <row r="40" spans="1:15" x14ac:dyDescent="0.25">
      <c r="A40" s="16" t="s">
        <v>59</v>
      </c>
      <c r="B40" s="17" t="s">
        <v>46</v>
      </c>
      <c r="C40" s="18">
        <f>15.5/672*24*6.289</f>
        <v>3.4814107142857145</v>
      </c>
      <c r="D40" s="18">
        <f>15.4/672*24*6.289</f>
        <v>3.4589500000000002</v>
      </c>
      <c r="E40" s="18">
        <v>3.4</v>
      </c>
      <c r="F40" s="18">
        <v>5.3</v>
      </c>
      <c r="G40" s="18">
        <v>5.6</v>
      </c>
      <c r="H40" s="18">
        <v>6</v>
      </c>
      <c r="I40" s="18"/>
      <c r="J40" s="18"/>
      <c r="K40" s="18"/>
      <c r="L40" s="18"/>
      <c r="M40" s="18"/>
      <c r="N40" s="18"/>
      <c r="O40" s="37">
        <f>SUM(C40:N40)/6</f>
        <v>4.5400601190476193</v>
      </c>
    </row>
    <row r="41" spans="1:15" x14ac:dyDescent="0.25">
      <c r="A41" s="19"/>
      <c r="B41" s="13"/>
      <c r="C41" s="22"/>
      <c r="D41" s="23"/>
      <c r="E41" s="14"/>
      <c r="F41" s="14"/>
      <c r="G41" s="14"/>
      <c r="H41" s="15"/>
      <c r="I41" s="15"/>
      <c r="J41" s="15"/>
      <c r="K41" s="15"/>
      <c r="L41" s="15"/>
      <c r="M41" s="15"/>
      <c r="N41" s="15"/>
      <c r="O41" s="38"/>
    </row>
    <row r="42" spans="1:15" x14ac:dyDescent="0.25">
      <c r="A42" s="16" t="s">
        <v>44</v>
      </c>
      <c r="B42" s="17" t="s">
        <v>47</v>
      </c>
      <c r="C42" s="21">
        <f>+'102 8-35-9-8'!C43</f>
        <v>43.62</v>
      </c>
      <c r="D42" s="21">
        <f>+'102 8-35-9-8'!D43</f>
        <v>58.09</v>
      </c>
      <c r="E42" s="21">
        <f>+'102 8-35-9-8'!E43</f>
        <v>62.881221179837809</v>
      </c>
      <c r="F42" s="21">
        <f>+'102 8-35-9-8'!F43</f>
        <v>68.616632214978537</v>
      </c>
      <c r="G42" s="21">
        <f>+'102 8-35-9-8'!G43</f>
        <v>68.470345046907298</v>
      </c>
      <c r="H42" s="21">
        <f>+'102 8-35-9-8'!H43</f>
        <v>52.49</v>
      </c>
      <c r="I42" s="21"/>
      <c r="J42" s="21"/>
      <c r="K42" s="21"/>
      <c r="L42" s="21"/>
      <c r="M42" s="21"/>
      <c r="N42" s="21"/>
      <c r="O42" s="37">
        <f>SUM(C42:N42)/6</f>
        <v>59.028033073620612</v>
      </c>
    </row>
    <row r="43" spans="1:15" x14ac:dyDescent="0.25">
      <c r="A43" s="19"/>
      <c r="B43" s="13"/>
      <c r="C43" s="26"/>
      <c r="D43" s="26"/>
      <c r="E43" s="27"/>
      <c r="F43" s="27"/>
      <c r="G43" s="27"/>
      <c r="O43" s="39"/>
    </row>
    <row r="44" spans="1:15" x14ac:dyDescent="0.25">
      <c r="A44" s="16" t="s">
        <v>48</v>
      </c>
      <c r="B44" s="17" t="s">
        <v>49</v>
      </c>
      <c r="C44" s="28">
        <f t="shared" ref="C44:D44" si="21">+C10</f>
        <v>5052.09</v>
      </c>
      <c r="D44" s="28">
        <f t="shared" si="21"/>
        <v>5147.12</v>
      </c>
      <c r="E44" s="28">
        <f t="shared" ref="E44:H44" si="22">+E10</f>
        <v>5476.47</v>
      </c>
      <c r="F44" s="28">
        <f t="shared" si="22"/>
        <v>9453.73</v>
      </c>
      <c r="G44" s="28">
        <f t="shared" si="22"/>
        <v>8750.1</v>
      </c>
      <c r="H44" s="28">
        <f t="shared" si="22"/>
        <v>5763.52</v>
      </c>
      <c r="I44" s="28"/>
      <c r="J44" s="28"/>
      <c r="K44" s="28"/>
      <c r="L44" s="28"/>
      <c r="M44" s="28"/>
      <c r="N44" s="28"/>
      <c r="O44" s="92">
        <f>SUM(C44:N44)</f>
        <v>39643.03</v>
      </c>
    </row>
    <row r="45" spans="1:15" x14ac:dyDescent="0.25">
      <c r="A45" s="16" t="s">
        <v>50</v>
      </c>
      <c r="B45" s="17" t="s">
        <v>49</v>
      </c>
      <c r="C45" s="28">
        <f t="shared" ref="C45:D45" si="23">+C14</f>
        <v>0</v>
      </c>
      <c r="D45" s="28">
        <f t="shared" si="23"/>
        <v>0</v>
      </c>
      <c r="E45" s="28">
        <f t="shared" ref="E45:H45" si="24">+E14</f>
        <v>0</v>
      </c>
      <c r="F45" s="28">
        <f t="shared" si="24"/>
        <v>0</v>
      </c>
      <c r="G45" s="28">
        <f t="shared" si="24"/>
        <v>0</v>
      </c>
      <c r="H45" s="28">
        <f t="shared" si="24"/>
        <v>0</v>
      </c>
      <c r="I45" s="28"/>
      <c r="J45" s="28"/>
      <c r="K45" s="28"/>
      <c r="L45" s="28"/>
      <c r="M45" s="28"/>
      <c r="N45" s="28"/>
      <c r="O45" s="92">
        <f t="shared" ref="O45:O46" si="25">SUM(C45:N45)</f>
        <v>0</v>
      </c>
    </row>
    <row r="46" spans="1:15" x14ac:dyDescent="0.25">
      <c r="A46" s="16" t="s">
        <v>51</v>
      </c>
      <c r="B46" s="17" t="s">
        <v>49</v>
      </c>
      <c r="C46" s="28">
        <f>+C33</f>
        <v>1231.1399999999999</v>
      </c>
      <c r="D46" s="28">
        <f>+D33</f>
        <v>1053.97</v>
      </c>
      <c r="E46" s="28">
        <f t="shared" ref="E46:H46" si="26">+E33</f>
        <v>5641.77</v>
      </c>
      <c r="F46" s="28">
        <f t="shared" si="26"/>
        <v>1130.42</v>
      </c>
      <c r="G46" s="28">
        <f t="shared" si="26"/>
        <v>1730.94</v>
      </c>
      <c r="H46" s="28">
        <f t="shared" si="26"/>
        <v>1848.43</v>
      </c>
      <c r="I46" s="28"/>
      <c r="J46" s="28"/>
      <c r="K46" s="28"/>
      <c r="L46" s="28"/>
      <c r="M46" s="28"/>
      <c r="N46" s="28"/>
      <c r="O46" s="92">
        <f t="shared" si="25"/>
        <v>12636.67</v>
      </c>
    </row>
    <row r="47" spans="1:15" x14ac:dyDescent="0.25">
      <c r="A47" s="19" t="s">
        <v>48</v>
      </c>
      <c r="B47" s="20" t="s">
        <v>47</v>
      </c>
      <c r="C47" s="29">
        <f>+C44/C38</f>
        <v>43.62</v>
      </c>
      <c r="D47" s="29">
        <f>+D44/D38</f>
        <v>58.09</v>
      </c>
      <c r="E47" s="29">
        <f t="shared" ref="E47:H47" si="27">+E44/E38</f>
        <v>62.881221179837809</v>
      </c>
      <c r="F47" s="29">
        <f t="shared" si="27"/>
        <v>68.616632214978537</v>
      </c>
      <c r="G47" s="29">
        <f t="shared" si="27"/>
        <v>68.470345046907298</v>
      </c>
      <c r="H47" s="29">
        <f t="shared" si="27"/>
        <v>52.49</v>
      </c>
      <c r="I47" s="29"/>
      <c r="J47" s="29"/>
      <c r="K47" s="29"/>
      <c r="L47" s="29"/>
      <c r="M47" s="29"/>
      <c r="N47" s="29"/>
      <c r="O47" s="40">
        <f>SUM(C47:N47)/6</f>
        <v>59.028033073620612</v>
      </c>
    </row>
    <row r="48" spans="1:15" x14ac:dyDescent="0.25">
      <c r="A48" s="16" t="s">
        <v>50</v>
      </c>
      <c r="B48" s="17" t="s">
        <v>47</v>
      </c>
      <c r="C48" s="30">
        <f>+C45/C38</f>
        <v>0</v>
      </c>
      <c r="D48" s="30">
        <f>+D45/D38</f>
        <v>0</v>
      </c>
      <c r="E48" s="30">
        <f t="shared" ref="E48:H48" si="28">+E45/E38</f>
        <v>0</v>
      </c>
      <c r="F48" s="30">
        <f t="shared" si="28"/>
        <v>0</v>
      </c>
      <c r="G48" s="30">
        <f t="shared" si="28"/>
        <v>0</v>
      </c>
      <c r="H48" s="30">
        <f t="shared" si="28"/>
        <v>0</v>
      </c>
      <c r="I48" s="30"/>
      <c r="J48" s="30"/>
      <c r="K48" s="30"/>
      <c r="L48" s="30"/>
      <c r="M48" s="30"/>
      <c r="N48" s="30"/>
      <c r="O48" s="41">
        <f>SUM(C48:N48)/6</f>
        <v>0</v>
      </c>
    </row>
    <row r="49" spans="1:15" x14ac:dyDescent="0.25">
      <c r="A49" s="16" t="s">
        <v>51</v>
      </c>
      <c r="B49" s="17" t="s">
        <v>47</v>
      </c>
      <c r="C49" s="30">
        <f>+C46/C38</f>
        <v>10.629724886136231</v>
      </c>
      <c r="D49" s="30">
        <f>+D46/D38</f>
        <v>11.895024265997296</v>
      </c>
      <c r="E49" s="30">
        <f t="shared" ref="E49:H49" si="29">+E46/E38</f>
        <v>64.779207631151735</v>
      </c>
      <c r="F49" s="30">
        <f t="shared" si="29"/>
        <v>8.2047629230426544</v>
      </c>
      <c r="G49" s="30">
        <f t="shared" si="29"/>
        <v>13.544766237585138</v>
      </c>
      <c r="H49" s="30">
        <f t="shared" si="29"/>
        <v>16.834172641024928</v>
      </c>
      <c r="I49" s="30"/>
      <c r="J49" s="30"/>
      <c r="K49" s="30"/>
      <c r="L49" s="30"/>
      <c r="M49" s="30"/>
      <c r="N49" s="30"/>
      <c r="O49" s="41">
        <f>SUM(C49:N49)/6</f>
        <v>20.981276430822998</v>
      </c>
    </row>
    <row r="50" spans="1:15" x14ac:dyDescent="0.25">
      <c r="A50" s="19" t="s">
        <v>52</v>
      </c>
      <c r="B50" s="20" t="s">
        <v>47</v>
      </c>
      <c r="C50" s="29">
        <f>+C47-C48-C49</f>
        <v>32.990275113863767</v>
      </c>
      <c r="D50" s="29">
        <f>+D47-D48-D49</f>
        <v>46.194975734002711</v>
      </c>
      <c r="E50" s="29">
        <f t="shared" ref="E50:H50" si="30">+E47-E48-E49</f>
        <v>-1.8979864513139262</v>
      </c>
      <c r="F50" s="29">
        <f t="shared" si="30"/>
        <v>60.411869291935886</v>
      </c>
      <c r="G50" s="29">
        <f t="shared" si="30"/>
        <v>54.925578809322161</v>
      </c>
      <c r="H50" s="29">
        <f t="shared" si="30"/>
        <v>35.655827358975074</v>
      </c>
      <c r="I50" s="29"/>
      <c r="J50" s="29"/>
      <c r="K50" s="29"/>
      <c r="L50" s="29"/>
      <c r="M50" s="29"/>
      <c r="N50" s="29"/>
      <c r="O50" s="40">
        <f>SUM(C50:N50)/6</f>
        <v>38.046756642797611</v>
      </c>
    </row>
    <row r="51" spans="1:15" x14ac:dyDescent="0.25">
      <c r="A51" s="19" t="s">
        <v>53</v>
      </c>
      <c r="B51" s="31" t="s">
        <v>54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/>
      <c r="J51" s="29"/>
      <c r="K51" s="29"/>
      <c r="L51" s="29"/>
      <c r="M51" s="29"/>
      <c r="N51" s="29"/>
      <c r="O51" s="40">
        <f>SUM(C51:N51)/6</f>
        <v>0</v>
      </c>
    </row>
    <row r="52" spans="1:15" x14ac:dyDescent="0.25">
      <c r="A52" s="16" t="s">
        <v>55</v>
      </c>
      <c r="B52" s="32" t="s">
        <v>54</v>
      </c>
      <c r="C52" s="30">
        <v>0</v>
      </c>
      <c r="D52" s="30">
        <v>0</v>
      </c>
      <c r="E52" s="30">
        <v>0</v>
      </c>
      <c r="F52" s="30">
        <v>0</v>
      </c>
      <c r="G52" s="30">
        <v>0</v>
      </c>
      <c r="H52" s="30">
        <v>0</v>
      </c>
      <c r="I52" s="30"/>
      <c r="J52" s="30"/>
      <c r="K52" s="30"/>
      <c r="L52" s="30"/>
      <c r="M52" s="30"/>
      <c r="N52" s="30"/>
      <c r="O52" s="42">
        <f>SUM(C52:N52)/6</f>
        <v>0</v>
      </c>
    </row>
    <row r="53" spans="1:15" x14ac:dyDescent="0.25">
      <c r="A53" s="19" t="s">
        <v>56</v>
      </c>
      <c r="B53" s="31" t="s">
        <v>54</v>
      </c>
      <c r="C53" s="29">
        <f>+C45/C44*100</f>
        <v>0</v>
      </c>
      <c r="D53" s="29">
        <f>+D45/D44*100</f>
        <v>0</v>
      </c>
      <c r="E53" s="29">
        <f t="shared" ref="E53:H53" si="31">+E45/E44*100</f>
        <v>0</v>
      </c>
      <c r="F53" s="29">
        <f t="shared" si="31"/>
        <v>0</v>
      </c>
      <c r="G53" s="29">
        <f t="shared" si="31"/>
        <v>0</v>
      </c>
      <c r="H53" s="29">
        <f t="shared" si="31"/>
        <v>0</v>
      </c>
      <c r="I53" s="29"/>
      <c r="J53" s="29"/>
      <c r="K53" s="29"/>
      <c r="L53" s="29"/>
      <c r="M53" s="29"/>
      <c r="N53" s="29"/>
      <c r="O53" s="40">
        <f>SUM(C53:N53)/6</f>
        <v>0</v>
      </c>
    </row>
    <row r="54" spans="1:15" x14ac:dyDescent="0.25">
      <c r="A54" s="16" t="s">
        <v>57</v>
      </c>
      <c r="B54" s="32" t="s">
        <v>54</v>
      </c>
      <c r="C54" s="30">
        <f>C46/C44*100</f>
        <v>24.368924544099567</v>
      </c>
      <c r="D54" s="30">
        <f>D46/D44*100</f>
        <v>20.476888046130654</v>
      </c>
      <c r="E54" s="30">
        <f t="shared" ref="E54:H54" si="32">E46/E44*100</f>
        <v>103.01836767114582</v>
      </c>
      <c r="F54" s="30">
        <f t="shared" si="32"/>
        <v>11.95739671008163</v>
      </c>
      <c r="G54" s="30">
        <f t="shared" si="32"/>
        <v>19.781945349196008</v>
      </c>
      <c r="H54" s="30">
        <f t="shared" si="32"/>
        <v>32.071199544722667</v>
      </c>
      <c r="I54" s="30"/>
      <c r="J54" s="30"/>
      <c r="K54" s="30"/>
      <c r="L54" s="30"/>
      <c r="M54" s="30"/>
      <c r="N54" s="30"/>
      <c r="O54" s="41">
        <f>SUM(C54:N54)/6</f>
        <v>35.279120310896062</v>
      </c>
    </row>
    <row r="55" spans="1:15" x14ac:dyDescent="0.25">
      <c r="A55" s="33" t="s">
        <v>58</v>
      </c>
      <c r="B55" s="34" t="s">
        <v>54</v>
      </c>
      <c r="C55" s="35">
        <f>C46/(C44+C45)*100</f>
        <v>24.368924544099567</v>
      </c>
      <c r="D55" s="35">
        <f>D46/(D44+D45)*100</f>
        <v>20.476888046130654</v>
      </c>
      <c r="E55" s="35">
        <f t="shared" ref="E55:H55" si="33">E46/(E44+E45)*100</f>
        <v>103.01836767114582</v>
      </c>
      <c r="F55" s="35">
        <f t="shared" si="33"/>
        <v>11.95739671008163</v>
      </c>
      <c r="G55" s="35">
        <f t="shared" si="33"/>
        <v>19.781945349196008</v>
      </c>
      <c r="H55" s="35">
        <f t="shared" si="33"/>
        <v>32.071199544722667</v>
      </c>
      <c r="I55" s="35"/>
      <c r="J55" s="35"/>
      <c r="K55" s="35"/>
      <c r="L55" s="35"/>
      <c r="M55" s="35"/>
      <c r="N55" s="35"/>
      <c r="O55" s="42">
        <f>SUM(C55:N55)/6</f>
        <v>35.279120310896062</v>
      </c>
    </row>
  </sheetData>
  <mergeCells count="3">
    <mergeCell ref="A1:O1"/>
    <mergeCell ref="A2:O2"/>
    <mergeCell ref="A3:N3"/>
  </mergeCells>
  <pageMargins left="0.7" right="0.7" top="0.75" bottom="0.75" header="0.3" footer="0.3"/>
  <pageSetup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2"/>
  <sheetViews>
    <sheetView topLeftCell="F34" zoomScaleNormal="100" workbookViewId="0">
      <selection activeCell="O55" sqref="O55"/>
    </sheetView>
  </sheetViews>
  <sheetFormatPr defaultRowHeight="15" x14ac:dyDescent="0.25"/>
  <cols>
    <col min="1" max="1" width="30.140625" customWidth="1"/>
    <col min="2" max="2" width="8.28515625" customWidth="1"/>
    <col min="3" max="15" width="17.140625" customWidth="1"/>
  </cols>
  <sheetData>
    <row r="1" spans="1:15" ht="18" x14ac:dyDescent="0.25">
      <c r="A1" s="114" t="s">
        <v>0</v>
      </c>
      <c r="B1" s="114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1:15" ht="18" x14ac:dyDescent="0.25">
      <c r="A2" s="114" t="s">
        <v>35</v>
      </c>
      <c r="B2" s="114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spans="1:15" x14ac:dyDescent="0.25">
      <c r="A3" s="116" t="str">
        <f>+'100 5-30-9-7 '!A3:N3</f>
        <v xml:space="preserve">January 2019 - 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</row>
    <row r="4" spans="1:15" x14ac:dyDescent="0.25">
      <c r="N4" s="99"/>
    </row>
    <row r="5" spans="1:15" x14ac:dyDescent="0.25">
      <c r="A5" s="1"/>
      <c r="C5" s="109">
        <v>43466</v>
      </c>
      <c r="D5" s="109">
        <v>43514</v>
      </c>
      <c r="E5" s="109">
        <v>43542</v>
      </c>
      <c r="F5" s="109">
        <v>43573</v>
      </c>
      <c r="G5" s="109">
        <v>43603</v>
      </c>
      <c r="H5" s="109">
        <v>43634</v>
      </c>
      <c r="I5" s="109">
        <v>43664</v>
      </c>
      <c r="J5" s="109">
        <v>43695</v>
      </c>
      <c r="K5" s="109">
        <v>43726</v>
      </c>
      <c r="L5" s="109">
        <v>43756</v>
      </c>
      <c r="M5" s="109">
        <v>43787</v>
      </c>
      <c r="N5" s="109">
        <v>43817</v>
      </c>
      <c r="O5" s="2" t="s">
        <v>2</v>
      </c>
    </row>
    <row r="6" spans="1:15" x14ac:dyDescent="0.25">
      <c r="A6" s="3" t="s">
        <v>3</v>
      </c>
      <c r="B6" s="3"/>
      <c r="C6" s="4"/>
      <c r="D6" s="4"/>
      <c r="E6" s="4"/>
      <c r="F6" s="4"/>
      <c r="G6" s="4"/>
      <c r="H6" s="4"/>
      <c r="I6" s="78"/>
      <c r="J6" s="78"/>
      <c r="K6" s="78"/>
      <c r="L6" s="78"/>
      <c r="M6" s="78"/>
      <c r="N6" s="78"/>
      <c r="O6" s="4"/>
    </row>
    <row r="7" spans="1:15" x14ac:dyDescent="0.25">
      <c r="A7" s="3" t="s">
        <v>21</v>
      </c>
      <c r="B7" s="3"/>
      <c r="C7" s="4"/>
      <c r="D7" s="4"/>
      <c r="E7" s="4"/>
      <c r="F7" s="4"/>
      <c r="G7" s="4"/>
      <c r="H7" s="4"/>
      <c r="I7" s="78"/>
      <c r="J7" s="78"/>
      <c r="K7" s="78"/>
      <c r="L7" s="78"/>
      <c r="M7" s="78"/>
      <c r="N7" s="78"/>
      <c r="O7" s="6"/>
    </row>
    <row r="8" spans="1:15" x14ac:dyDescent="0.25">
      <c r="A8" s="3" t="s">
        <v>22</v>
      </c>
      <c r="B8" s="3"/>
      <c r="C8" s="4"/>
      <c r="D8" s="4"/>
      <c r="E8" s="4"/>
      <c r="F8" s="4"/>
      <c r="G8" s="4"/>
      <c r="H8" s="4"/>
      <c r="I8" s="78"/>
      <c r="J8" s="78"/>
      <c r="K8" s="78"/>
      <c r="L8" s="78"/>
      <c r="M8" s="78"/>
      <c r="N8" s="78"/>
      <c r="O8" s="6"/>
    </row>
    <row r="9" spans="1:15" x14ac:dyDescent="0.25">
      <c r="A9" s="3" t="s">
        <v>23</v>
      </c>
      <c r="B9" s="3"/>
      <c r="C9" s="6">
        <v>12288.56</v>
      </c>
      <c r="D9" s="6">
        <v>7170.28</v>
      </c>
      <c r="E9" s="6">
        <v>8655.39</v>
      </c>
      <c r="F9" s="6">
        <v>14987.02</v>
      </c>
      <c r="G9" s="6">
        <v>13871.56</v>
      </c>
      <c r="H9" s="6">
        <v>9059.8700000000008</v>
      </c>
      <c r="I9" s="79"/>
      <c r="J9" s="79"/>
      <c r="K9" s="79"/>
      <c r="L9" s="79"/>
      <c r="M9" s="79"/>
      <c r="N9" s="79"/>
      <c r="O9" s="6">
        <f>SUM(C9:N9)</f>
        <v>66032.679999999993</v>
      </c>
    </row>
    <row r="10" spans="1:15" x14ac:dyDescent="0.25">
      <c r="A10" s="3" t="s">
        <v>24</v>
      </c>
      <c r="B10" s="3"/>
      <c r="C10" s="5">
        <f t="shared" ref="C10:J10" si="0">(C8)+(C9)</f>
        <v>12288.56</v>
      </c>
      <c r="D10" s="5">
        <f t="shared" si="0"/>
        <v>7170.28</v>
      </c>
      <c r="E10" s="5">
        <f t="shared" si="0"/>
        <v>8655.39</v>
      </c>
      <c r="F10" s="5">
        <f t="shared" si="0"/>
        <v>14987.02</v>
      </c>
      <c r="G10" s="5">
        <f t="shared" si="0"/>
        <v>13871.56</v>
      </c>
      <c r="H10" s="5">
        <f t="shared" si="0"/>
        <v>9059.8700000000008</v>
      </c>
      <c r="I10" s="82">
        <f t="shared" si="0"/>
        <v>0</v>
      </c>
      <c r="J10" s="82">
        <f t="shared" si="0"/>
        <v>0</v>
      </c>
      <c r="K10" s="82">
        <f t="shared" ref="K10:L10" si="1">(K8)+(K9)</f>
        <v>0</v>
      </c>
      <c r="L10" s="82">
        <f t="shared" si="1"/>
        <v>0</v>
      </c>
      <c r="M10" s="82">
        <f t="shared" ref="M10:N10" si="2">(M8)+(M9)</f>
        <v>0</v>
      </c>
      <c r="N10" s="82">
        <f t="shared" si="2"/>
        <v>0</v>
      </c>
      <c r="O10" s="96">
        <f t="shared" ref="O10:O34" si="3">SUM(C10:N10)</f>
        <v>66032.679999999993</v>
      </c>
    </row>
    <row r="11" spans="1:15" x14ac:dyDescent="0.25">
      <c r="A11" s="3" t="s">
        <v>25</v>
      </c>
      <c r="B11" s="3"/>
      <c r="C11" s="5">
        <f t="shared" ref="C11:J11" si="4">(C7)+(C10)</f>
        <v>12288.56</v>
      </c>
      <c r="D11" s="5">
        <f t="shared" si="4"/>
        <v>7170.28</v>
      </c>
      <c r="E11" s="5">
        <f t="shared" si="4"/>
        <v>8655.39</v>
      </c>
      <c r="F11" s="5">
        <f t="shared" si="4"/>
        <v>14987.02</v>
      </c>
      <c r="G11" s="5">
        <f t="shared" si="4"/>
        <v>13871.56</v>
      </c>
      <c r="H11" s="5">
        <f t="shared" si="4"/>
        <v>9059.8700000000008</v>
      </c>
      <c r="I11" s="82">
        <f t="shared" si="4"/>
        <v>0</v>
      </c>
      <c r="J11" s="82">
        <f t="shared" si="4"/>
        <v>0</v>
      </c>
      <c r="K11" s="82">
        <f t="shared" ref="K11:L11" si="5">(K7)+(K10)</f>
        <v>0</v>
      </c>
      <c r="L11" s="82">
        <f t="shared" si="5"/>
        <v>0</v>
      </c>
      <c r="M11" s="82">
        <f t="shared" ref="M11:N11" si="6">(M7)+(M10)</f>
        <v>0</v>
      </c>
      <c r="N11" s="82">
        <f t="shared" si="6"/>
        <v>0</v>
      </c>
      <c r="O11" s="97">
        <f t="shared" si="3"/>
        <v>66032.679999999993</v>
      </c>
    </row>
    <row r="12" spans="1:15" x14ac:dyDescent="0.25">
      <c r="A12" s="3" t="s">
        <v>26</v>
      </c>
      <c r="B12" s="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6"/>
    </row>
    <row r="13" spans="1:15" x14ac:dyDescent="0.25">
      <c r="A13" s="3" t="s">
        <v>34</v>
      </c>
      <c r="B13" s="3"/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f t="shared" si="3"/>
        <v>0</v>
      </c>
    </row>
    <row r="14" spans="1:15" x14ac:dyDescent="0.25">
      <c r="A14" s="3" t="s">
        <v>27</v>
      </c>
      <c r="B14" s="3"/>
      <c r="C14" s="5">
        <f t="shared" ref="C14:H14" si="7">(C12)+(C13)</f>
        <v>0</v>
      </c>
      <c r="D14" s="5">
        <f t="shared" si="7"/>
        <v>0</v>
      </c>
      <c r="E14" s="5">
        <f t="shared" si="7"/>
        <v>0</v>
      </c>
      <c r="F14" s="5">
        <f t="shared" si="7"/>
        <v>0</v>
      </c>
      <c r="G14" s="5">
        <f t="shared" si="7"/>
        <v>0</v>
      </c>
      <c r="H14" s="5">
        <f t="shared" si="7"/>
        <v>0</v>
      </c>
      <c r="I14" s="5">
        <f t="shared" ref="I14:J14" si="8">(I12)+(I13)</f>
        <v>0</v>
      </c>
      <c r="J14" s="5">
        <f t="shared" si="8"/>
        <v>0</v>
      </c>
      <c r="K14" s="5">
        <f t="shared" ref="K14:L14" si="9">(K12)+(K13)</f>
        <v>0</v>
      </c>
      <c r="L14" s="5">
        <f t="shared" si="9"/>
        <v>0</v>
      </c>
      <c r="M14" s="5">
        <f t="shared" ref="M14:N14" si="10">(M12)+(M13)</f>
        <v>0</v>
      </c>
      <c r="N14" s="5">
        <f t="shared" si="10"/>
        <v>0</v>
      </c>
      <c r="O14" s="96">
        <f t="shared" si="3"/>
        <v>0</v>
      </c>
    </row>
    <row r="15" spans="1:15" x14ac:dyDescent="0.25">
      <c r="A15" s="3" t="s">
        <v>4</v>
      </c>
      <c r="B15" s="3"/>
      <c r="C15" s="5">
        <f t="shared" ref="C15:H15" si="11">(C11)+(C14)</f>
        <v>12288.56</v>
      </c>
      <c r="D15" s="5">
        <f t="shared" si="11"/>
        <v>7170.28</v>
      </c>
      <c r="E15" s="5">
        <f t="shared" si="11"/>
        <v>8655.39</v>
      </c>
      <c r="F15" s="5">
        <f t="shared" si="11"/>
        <v>14987.02</v>
      </c>
      <c r="G15" s="5">
        <f t="shared" si="11"/>
        <v>13871.56</v>
      </c>
      <c r="H15" s="5">
        <f t="shared" si="11"/>
        <v>9059.8700000000008</v>
      </c>
      <c r="I15" s="5">
        <f t="shared" ref="I15:J15" si="12">(I11)+(I14)</f>
        <v>0</v>
      </c>
      <c r="J15" s="5">
        <f t="shared" si="12"/>
        <v>0</v>
      </c>
      <c r="K15" s="5">
        <f t="shared" ref="K15:L15" si="13">(K11)+(K14)</f>
        <v>0</v>
      </c>
      <c r="L15" s="5">
        <f t="shared" si="13"/>
        <v>0</v>
      </c>
      <c r="M15" s="5">
        <f t="shared" ref="M15:N15" si="14">(M11)+(M14)</f>
        <v>0</v>
      </c>
      <c r="N15" s="5">
        <f t="shared" si="14"/>
        <v>0</v>
      </c>
      <c r="O15" s="96">
        <f t="shared" si="3"/>
        <v>66032.679999999993</v>
      </c>
    </row>
    <row r="16" spans="1:15" x14ac:dyDescent="0.25">
      <c r="A16" s="3" t="s">
        <v>5</v>
      </c>
      <c r="B16" s="3"/>
      <c r="C16" s="5">
        <f t="shared" ref="C16:H16" si="15">(C15)-(0)</f>
        <v>12288.56</v>
      </c>
      <c r="D16" s="5">
        <f t="shared" si="15"/>
        <v>7170.28</v>
      </c>
      <c r="E16" s="5">
        <f t="shared" si="15"/>
        <v>8655.39</v>
      </c>
      <c r="F16" s="5">
        <f t="shared" si="15"/>
        <v>14987.02</v>
      </c>
      <c r="G16" s="5">
        <f t="shared" si="15"/>
        <v>13871.56</v>
      </c>
      <c r="H16" s="5">
        <f t="shared" si="15"/>
        <v>9059.8700000000008</v>
      </c>
      <c r="I16" s="5">
        <f t="shared" ref="I16:J16" si="16">(I15)-(0)</f>
        <v>0</v>
      </c>
      <c r="J16" s="5">
        <f t="shared" si="16"/>
        <v>0</v>
      </c>
      <c r="K16" s="5">
        <f t="shared" ref="K16:L16" si="17">(K15)-(0)</f>
        <v>0</v>
      </c>
      <c r="L16" s="5">
        <f t="shared" si="17"/>
        <v>0</v>
      </c>
      <c r="M16" s="5">
        <f t="shared" ref="M16:N16" si="18">(M15)-(0)</f>
        <v>0</v>
      </c>
      <c r="N16" s="5">
        <f t="shared" si="18"/>
        <v>0</v>
      </c>
      <c r="O16" s="95">
        <f t="shared" si="3"/>
        <v>66032.679999999993</v>
      </c>
    </row>
    <row r="17" spans="1:15" x14ac:dyDescent="0.25">
      <c r="A17" s="3" t="s">
        <v>6</v>
      </c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6"/>
    </row>
    <row r="18" spans="1:15" x14ac:dyDescent="0.25">
      <c r="A18" s="3" t="s">
        <v>7</v>
      </c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6"/>
    </row>
    <row r="19" spans="1:15" x14ac:dyDescent="0.25">
      <c r="A19" s="3" t="s">
        <v>28</v>
      </c>
      <c r="B19" s="3"/>
      <c r="C19" s="6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6">
        <f t="shared" si="3"/>
        <v>0</v>
      </c>
    </row>
    <row r="20" spans="1:15" x14ac:dyDescent="0.25">
      <c r="A20" s="3" t="s">
        <v>17</v>
      </c>
      <c r="B20" s="3"/>
      <c r="C20" s="6">
        <v>430.45</v>
      </c>
      <c r="D20" s="6">
        <v>334.55</v>
      </c>
      <c r="E20" s="6">
        <v>430.45</v>
      </c>
      <c r="F20" s="6">
        <v>395.45</v>
      </c>
      <c r="G20" s="6">
        <v>385</v>
      </c>
      <c r="H20" s="6">
        <v>812.28</v>
      </c>
      <c r="I20" s="79"/>
      <c r="J20" s="79"/>
      <c r="K20" s="79"/>
      <c r="L20" s="79"/>
      <c r="M20" s="79"/>
      <c r="N20" s="79"/>
      <c r="O20" s="6">
        <f t="shared" si="3"/>
        <v>2788.1800000000003</v>
      </c>
    </row>
    <row r="21" spans="1:15" x14ac:dyDescent="0.25">
      <c r="A21" s="3" t="s">
        <v>8</v>
      </c>
      <c r="B21" s="3"/>
      <c r="C21" s="6">
        <v>240.18</v>
      </c>
      <c r="D21" s="6">
        <v>396.87</v>
      </c>
      <c r="E21" s="6">
        <v>296.10000000000002</v>
      </c>
      <c r="F21" s="6">
        <v>229.28</v>
      </c>
      <c r="G21" s="6">
        <v>313.58</v>
      </c>
      <c r="H21" s="6">
        <v>245.94</v>
      </c>
      <c r="I21" s="79"/>
      <c r="J21" s="79"/>
      <c r="K21" s="79"/>
      <c r="L21" s="79"/>
      <c r="M21" s="79"/>
      <c r="N21" s="79"/>
      <c r="O21" s="6">
        <f t="shared" si="3"/>
        <v>1721.95</v>
      </c>
    </row>
    <row r="22" spans="1:15" x14ac:dyDescent="0.25">
      <c r="A22" s="83" t="s">
        <v>9</v>
      </c>
      <c r="B22" s="3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6"/>
    </row>
    <row r="23" spans="1:15" x14ac:dyDescent="0.25">
      <c r="A23" s="83" t="s">
        <v>11</v>
      </c>
      <c r="B23" s="3"/>
      <c r="C23" s="78"/>
      <c r="D23" s="78"/>
      <c r="E23" s="78"/>
      <c r="F23" s="78"/>
      <c r="G23" s="78"/>
      <c r="H23" s="78"/>
      <c r="I23" s="78"/>
      <c r="J23" s="79"/>
      <c r="K23" s="79"/>
      <c r="L23" s="79"/>
      <c r="M23" s="79"/>
      <c r="N23" s="79"/>
      <c r="O23" s="6">
        <f t="shared" si="3"/>
        <v>0</v>
      </c>
    </row>
    <row r="24" spans="1:15" x14ac:dyDescent="0.25">
      <c r="A24" s="83" t="s">
        <v>12</v>
      </c>
      <c r="B24" s="3"/>
      <c r="C24" s="82">
        <f t="shared" ref="C24:N24" si="19">(C22)+(C23)</f>
        <v>0</v>
      </c>
      <c r="D24" s="82">
        <f t="shared" si="19"/>
        <v>0</v>
      </c>
      <c r="E24" s="82">
        <f t="shared" si="19"/>
        <v>0</v>
      </c>
      <c r="F24" s="82">
        <f t="shared" si="19"/>
        <v>0</v>
      </c>
      <c r="G24" s="82">
        <f t="shared" si="19"/>
        <v>0</v>
      </c>
      <c r="H24" s="82">
        <f t="shared" si="19"/>
        <v>0</v>
      </c>
      <c r="I24" s="82">
        <f t="shared" si="19"/>
        <v>0</v>
      </c>
      <c r="J24" s="82">
        <f t="shared" si="19"/>
        <v>0</v>
      </c>
      <c r="K24" s="82">
        <f t="shared" si="19"/>
        <v>0</v>
      </c>
      <c r="L24" s="82">
        <f t="shared" si="19"/>
        <v>0</v>
      </c>
      <c r="M24" s="82">
        <f t="shared" si="19"/>
        <v>0</v>
      </c>
      <c r="N24" s="82">
        <f t="shared" si="19"/>
        <v>0</v>
      </c>
      <c r="O24" s="97">
        <f t="shared" si="3"/>
        <v>0</v>
      </c>
    </row>
    <row r="25" spans="1:15" x14ac:dyDescent="0.25">
      <c r="A25" s="3" t="s">
        <v>13</v>
      </c>
      <c r="B25" s="3"/>
      <c r="C25" s="6"/>
      <c r="D25" s="6"/>
      <c r="E25" s="6">
        <v>114.6</v>
      </c>
      <c r="F25" s="6"/>
      <c r="G25" s="4">
        <v>648.12</v>
      </c>
      <c r="H25" s="4"/>
      <c r="I25" s="4"/>
      <c r="J25" s="79"/>
      <c r="K25" s="79"/>
      <c r="L25" s="79"/>
      <c r="M25" s="79"/>
      <c r="N25" s="79"/>
      <c r="O25" s="6">
        <f t="shared" si="3"/>
        <v>762.72</v>
      </c>
    </row>
    <row r="26" spans="1:15" x14ac:dyDescent="0.25">
      <c r="A26" s="3" t="s">
        <v>73</v>
      </c>
      <c r="B26" s="3"/>
      <c r="C26" s="6"/>
      <c r="D26" s="6"/>
      <c r="E26" s="6"/>
      <c r="F26" s="6"/>
      <c r="G26" s="4"/>
      <c r="H26" s="4"/>
      <c r="I26" s="4"/>
      <c r="J26" s="79"/>
      <c r="K26" s="79"/>
      <c r="L26" s="79"/>
      <c r="M26" s="79"/>
      <c r="N26" s="79"/>
      <c r="O26" s="6">
        <f t="shared" si="3"/>
        <v>0</v>
      </c>
    </row>
    <row r="27" spans="1:15" x14ac:dyDescent="0.25">
      <c r="A27" s="3" t="s">
        <v>29</v>
      </c>
      <c r="B27" s="3"/>
      <c r="C27" s="6"/>
      <c r="D27" s="6"/>
      <c r="E27" s="6"/>
      <c r="F27" s="6"/>
      <c r="G27" s="4"/>
      <c r="H27" s="4"/>
      <c r="I27" s="4"/>
      <c r="J27" s="79"/>
      <c r="K27" s="79"/>
      <c r="L27" s="79"/>
      <c r="M27" s="79"/>
      <c r="N27" s="79"/>
      <c r="O27" s="6">
        <f t="shared" si="3"/>
        <v>0</v>
      </c>
    </row>
    <row r="28" spans="1:15" x14ac:dyDescent="0.25">
      <c r="A28" s="3" t="s">
        <v>30</v>
      </c>
      <c r="B28" s="3"/>
      <c r="C28" s="4"/>
      <c r="D28" s="4"/>
      <c r="E28" s="4"/>
      <c r="F28" s="6"/>
      <c r="G28" s="6">
        <v>115.91</v>
      </c>
      <c r="H28" s="4"/>
      <c r="I28" s="4"/>
      <c r="J28" s="4"/>
      <c r="K28" s="4"/>
      <c r="L28" s="4"/>
      <c r="M28" s="4"/>
      <c r="N28" s="4"/>
      <c r="O28" s="6">
        <f t="shared" si="3"/>
        <v>115.91</v>
      </c>
    </row>
    <row r="29" spans="1:15" x14ac:dyDescent="0.25">
      <c r="A29" s="3" t="s">
        <v>18</v>
      </c>
      <c r="B29" s="3"/>
      <c r="C29" s="4"/>
      <c r="D29" s="4"/>
      <c r="E29" s="4"/>
      <c r="F29" s="6"/>
      <c r="G29" s="4"/>
      <c r="H29" s="4"/>
      <c r="I29" s="4"/>
      <c r="J29" s="4"/>
      <c r="K29" s="4"/>
      <c r="L29" s="4"/>
      <c r="M29" s="4"/>
      <c r="N29" s="4"/>
      <c r="O29" s="6">
        <f t="shared" si="3"/>
        <v>0</v>
      </c>
    </row>
    <row r="30" spans="1:15" s="111" customFormat="1" x14ac:dyDescent="0.25">
      <c r="A30" s="3" t="s">
        <v>71</v>
      </c>
      <c r="B30" s="3"/>
      <c r="C30" s="4"/>
      <c r="D30" s="4"/>
      <c r="E30" s="4"/>
      <c r="F30" s="6">
        <v>79.95</v>
      </c>
      <c r="G30" s="4"/>
      <c r="H30" s="4"/>
      <c r="I30" s="4"/>
      <c r="J30" s="4"/>
      <c r="K30" s="4"/>
      <c r="L30" s="4"/>
      <c r="M30" s="4"/>
      <c r="N30" s="4"/>
      <c r="O30" s="6">
        <f t="shared" si="3"/>
        <v>79.95</v>
      </c>
    </row>
    <row r="31" spans="1:15" x14ac:dyDescent="0.25">
      <c r="A31" s="3" t="s">
        <v>32</v>
      </c>
      <c r="B31" s="3"/>
      <c r="C31" s="6">
        <v>660.17</v>
      </c>
      <c r="D31" s="6">
        <v>352.1</v>
      </c>
      <c r="E31" s="6">
        <v>379.2</v>
      </c>
      <c r="F31" s="6">
        <v>591.71</v>
      </c>
      <c r="G31" s="6">
        <v>623.47</v>
      </c>
      <c r="H31" s="6">
        <f>979.25+37.42+50.84</f>
        <v>1067.51</v>
      </c>
      <c r="I31" s="79"/>
      <c r="J31" s="79"/>
      <c r="K31" s="79"/>
      <c r="L31" s="79"/>
      <c r="M31" s="79"/>
      <c r="N31" s="79"/>
      <c r="O31" s="6">
        <f t="shared" si="3"/>
        <v>3674.16</v>
      </c>
    </row>
    <row r="32" spans="1:15" x14ac:dyDescent="0.25">
      <c r="A32" s="3" t="s">
        <v>14</v>
      </c>
      <c r="B32" s="3"/>
      <c r="C32" s="5">
        <f>+C19+C20+C21+C24+C25+C26+C27+C28+C29+C31+C30</f>
        <v>1330.8</v>
      </c>
      <c r="D32" s="5">
        <f t="shared" ref="D32:N32" si="20">+D19+D20+D21+D24+D25+D26+D27+D28+D29+D31+D30</f>
        <v>1083.52</v>
      </c>
      <c r="E32" s="5">
        <f t="shared" si="20"/>
        <v>1220.3499999999999</v>
      </c>
      <c r="F32" s="5">
        <f t="shared" si="20"/>
        <v>1296.3900000000001</v>
      </c>
      <c r="G32" s="5">
        <f t="shared" si="20"/>
        <v>2086.08</v>
      </c>
      <c r="H32" s="5">
        <f t="shared" si="20"/>
        <v>2125.73</v>
      </c>
      <c r="I32" s="5">
        <f t="shared" si="20"/>
        <v>0</v>
      </c>
      <c r="J32" s="5">
        <f t="shared" si="20"/>
        <v>0</v>
      </c>
      <c r="K32" s="5">
        <f t="shared" si="20"/>
        <v>0</v>
      </c>
      <c r="L32" s="5">
        <f t="shared" si="20"/>
        <v>0</v>
      </c>
      <c r="M32" s="5">
        <f t="shared" si="20"/>
        <v>0</v>
      </c>
      <c r="N32" s="5">
        <f t="shared" si="20"/>
        <v>0</v>
      </c>
      <c r="O32" s="96">
        <f t="shared" si="3"/>
        <v>9142.869999999999</v>
      </c>
    </row>
    <row r="33" spans="1:15" x14ac:dyDescent="0.25">
      <c r="A33" s="3" t="s">
        <v>15</v>
      </c>
      <c r="B33" s="3"/>
      <c r="C33" s="5">
        <f t="shared" ref="C33:N33" si="21">C32</f>
        <v>1330.8</v>
      </c>
      <c r="D33" s="5">
        <f t="shared" si="21"/>
        <v>1083.52</v>
      </c>
      <c r="E33" s="5">
        <f t="shared" si="21"/>
        <v>1220.3499999999999</v>
      </c>
      <c r="F33" s="5">
        <f t="shared" si="21"/>
        <v>1296.3900000000001</v>
      </c>
      <c r="G33" s="5">
        <f t="shared" si="21"/>
        <v>2086.08</v>
      </c>
      <c r="H33" s="5">
        <f t="shared" si="21"/>
        <v>2125.73</v>
      </c>
      <c r="I33" s="5">
        <f t="shared" si="21"/>
        <v>0</v>
      </c>
      <c r="J33" s="5">
        <f t="shared" si="21"/>
        <v>0</v>
      </c>
      <c r="K33" s="5">
        <f t="shared" si="21"/>
        <v>0</v>
      </c>
      <c r="L33" s="5">
        <f t="shared" si="21"/>
        <v>0</v>
      </c>
      <c r="M33" s="5">
        <f t="shared" si="21"/>
        <v>0</v>
      </c>
      <c r="N33" s="5">
        <f t="shared" si="21"/>
        <v>0</v>
      </c>
      <c r="O33" s="96">
        <f t="shared" si="3"/>
        <v>9142.869999999999</v>
      </c>
    </row>
    <row r="34" spans="1:15" x14ac:dyDescent="0.25">
      <c r="A34" s="3" t="s">
        <v>16</v>
      </c>
      <c r="B34" s="3"/>
      <c r="C34" s="5">
        <f t="shared" ref="C34:N34" si="22">(((C16)-(C33))+(0))-(0)</f>
        <v>10957.76</v>
      </c>
      <c r="D34" s="5">
        <f t="shared" si="22"/>
        <v>6086.76</v>
      </c>
      <c r="E34" s="5">
        <f t="shared" si="22"/>
        <v>7435.0399999999991</v>
      </c>
      <c r="F34" s="5">
        <f t="shared" si="22"/>
        <v>13690.630000000001</v>
      </c>
      <c r="G34" s="5">
        <f t="shared" si="22"/>
        <v>11785.48</v>
      </c>
      <c r="H34" s="5">
        <f t="shared" si="22"/>
        <v>6934.1400000000012</v>
      </c>
      <c r="I34" s="5">
        <f t="shared" si="22"/>
        <v>0</v>
      </c>
      <c r="J34" s="5">
        <f t="shared" si="22"/>
        <v>0</v>
      </c>
      <c r="K34" s="5">
        <f t="shared" si="22"/>
        <v>0</v>
      </c>
      <c r="L34" s="5">
        <f t="shared" si="22"/>
        <v>0</v>
      </c>
      <c r="M34" s="5">
        <f t="shared" si="22"/>
        <v>0</v>
      </c>
      <c r="N34" s="5">
        <f t="shared" si="22"/>
        <v>0</v>
      </c>
      <c r="O34" s="97">
        <f t="shared" si="3"/>
        <v>56889.81</v>
      </c>
    </row>
    <row r="35" spans="1:15" x14ac:dyDescent="0.25">
      <c r="A35" s="3"/>
      <c r="B35" s="3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5">
      <c r="A36" s="13" t="s">
        <v>43</v>
      </c>
      <c r="B36" s="13"/>
      <c r="C36" s="14"/>
      <c r="D36" s="14"/>
      <c r="E36" s="14"/>
      <c r="F36" s="14"/>
      <c r="G36" s="14"/>
      <c r="H36" s="15"/>
      <c r="I36" s="15"/>
      <c r="J36" s="15"/>
      <c r="K36" s="15"/>
      <c r="L36" s="15"/>
      <c r="M36" s="15"/>
      <c r="N36" s="15"/>
      <c r="O36" s="36"/>
    </row>
    <row r="37" spans="1:15" x14ac:dyDescent="0.25">
      <c r="A37" s="16" t="s">
        <v>44</v>
      </c>
      <c r="B37" s="17" t="s">
        <v>45</v>
      </c>
      <c r="C37" s="18">
        <f>C43/C41</f>
        <v>281.71847776249427</v>
      </c>
      <c r="D37" s="18">
        <f>D43/D41</f>
        <v>123.43398175245308</v>
      </c>
      <c r="E37" s="18">
        <f t="shared" ref="E37:H37" si="23">E43/E41</f>
        <v>137.64665885298135</v>
      </c>
      <c r="F37" s="18">
        <f t="shared" si="23"/>
        <v>218.41672370402983</v>
      </c>
      <c r="G37" s="18">
        <f t="shared" si="23"/>
        <v>202.59223157845847</v>
      </c>
      <c r="H37" s="18">
        <f t="shared" si="23"/>
        <v>172.60182891979426</v>
      </c>
      <c r="I37" s="18"/>
      <c r="J37" s="18"/>
      <c r="K37" s="18"/>
      <c r="L37" s="18"/>
      <c r="M37" s="18"/>
      <c r="N37" s="18"/>
      <c r="O37" s="37">
        <f>SUM(C37:N37)</f>
        <v>1136.4099025702114</v>
      </c>
    </row>
    <row r="38" spans="1:15" x14ac:dyDescent="0.25">
      <c r="A38" s="19"/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36"/>
    </row>
    <row r="39" spans="1:15" x14ac:dyDescent="0.25">
      <c r="A39" s="16" t="s">
        <v>59</v>
      </c>
      <c r="B39" s="17" t="s">
        <v>46</v>
      </c>
      <c r="C39" s="18">
        <f>37.6/624*24*6.289</f>
        <v>9.0948615384615383</v>
      </c>
      <c r="D39" s="18">
        <f>21.4/432*24*6.289</f>
        <v>7.4769222222222202</v>
      </c>
      <c r="E39" s="18">
        <v>5.4</v>
      </c>
      <c r="F39" s="18">
        <v>8.4</v>
      </c>
      <c r="G39" s="18">
        <v>7.8</v>
      </c>
      <c r="H39" s="18">
        <v>9.4</v>
      </c>
      <c r="I39" s="18"/>
      <c r="J39" s="18"/>
      <c r="K39" s="18"/>
      <c r="L39" s="18"/>
      <c r="M39" s="18"/>
      <c r="N39" s="18"/>
      <c r="O39" s="37">
        <f>SUM(C39:N39)/6</f>
        <v>7.9286306267806248</v>
      </c>
    </row>
    <row r="40" spans="1:15" x14ac:dyDescent="0.25">
      <c r="A40" s="19"/>
      <c r="B40" s="13"/>
      <c r="C40" s="22"/>
      <c r="D40" s="23"/>
      <c r="E40" s="14"/>
      <c r="F40" s="14"/>
      <c r="G40" s="14"/>
      <c r="H40" s="15"/>
      <c r="I40" s="15"/>
      <c r="J40" s="15"/>
      <c r="K40" s="15"/>
      <c r="L40" s="15"/>
      <c r="M40" s="15"/>
      <c r="N40" s="15"/>
      <c r="O40" s="38"/>
    </row>
    <row r="41" spans="1:15" x14ac:dyDescent="0.25">
      <c r="A41" s="16" t="s">
        <v>44</v>
      </c>
      <c r="B41" s="17" t="s">
        <v>47</v>
      </c>
      <c r="C41" s="21">
        <f>+'102 8-36-9-8'!C42</f>
        <v>43.62</v>
      </c>
      <c r="D41" s="21">
        <f>+'102 8-36-9-8'!D42</f>
        <v>58.09</v>
      </c>
      <c r="E41" s="21">
        <f>+'102 8-36-9-8'!E42</f>
        <v>62.881221179837809</v>
      </c>
      <c r="F41" s="21">
        <f>+'102 8-36-9-8'!F42</f>
        <v>68.616632214978537</v>
      </c>
      <c r="G41" s="21">
        <f>+'102 8-36-9-8'!G42</f>
        <v>68.470345046907298</v>
      </c>
      <c r="H41" s="21">
        <f>+'102 8-36-9-8'!H42</f>
        <v>52.49</v>
      </c>
      <c r="I41" s="21"/>
      <c r="J41" s="21"/>
      <c r="K41" s="21"/>
      <c r="L41" s="21"/>
      <c r="M41" s="21"/>
      <c r="N41" s="21"/>
      <c r="O41" s="37">
        <f>SUM(C41:N41)/6</f>
        <v>59.028033073620612</v>
      </c>
    </row>
    <row r="42" spans="1:15" x14ac:dyDescent="0.25">
      <c r="A42" s="19"/>
      <c r="B42" s="13"/>
      <c r="C42" s="26"/>
      <c r="D42" s="26"/>
      <c r="E42" s="27"/>
      <c r="F42" s="27"/>
      <c r="G42" s="27"/>
      <c r="O42" s="39"/>
    </row>
    <row r="43" spans="1:15" x14ac:dyDescent="0.25">
      <c r="A43" s="16" t="s">
        <v>48</v>
      </c>
      <c r="B43" s="17" t="s">
        <v>49</v>
      </c>
      <c r="C43" s="28">
        <f>+C9</f>
        <v>12288.56</v>
      </c>
      <c r="D43" s="28">
        <f>+D9</f>
        <v>7170.28</v>
      </c>
      <c r="E43" s="28">
        <f t="shared" ref="E43:H43" si="24">+E9</f>
        <v>8655.39</v>
      </c>
      <c r="F43" s="28">
        <f t="shared" si="24"/>
        <v>14987.02</v>
      </c>
      <c r="G43" s="28">
        <f t="shared" si="24"/>
        <v>13871.56</v>
      </c>
      <c r="H43" s="28">
        <f t="shared" si="24"/>
        <v>9059.8700000000008</v>
      </c>
      <c r="I43" s="28"/>
      <c r="J43" s="28"/>
      <c r="K43" s="28"/>
      <c r="L43" s="28"/>
      <c r="M43" s="28"/>
      <c r="N43" s="28"/>
      <c r="O43" s="44">
        <f>SUM(C43:N43)</f>
        <v>66032.679999999993</v>
      </c>
    </row>
    <row r="44" spans="1:15" x14ac:dyDescent="0.25">
      <c r="A44" s="16" t="s">
        <v>50</v>
      </c>
      <c r="B44" s="17" t="s">
        <v>49</v>
      </c>
      <c r="C44" s="28">
        <f>+C13</f>
        <v>0</v>
      </c>
      <c r="D44" s="28">
        <f>+D13</f>
        <v>0</v>
      </c>
      <c r="E44" s="28">
        <f t="shared" ref="E44:H44" si="25">+E13</f>
        <v>0</v>
      </c>
      <c r="F44" s="28">
        <f t="shared" si="25"/>
        <v>0</v>
      </c>
      <c r="G44" s="28">
        <f t="shared" si="25"/>
        <v>0</v>
      </c>
      <c r="H44" s="28">
        <f t="shared" si="25"/>
        <v>0</v>
      </c>
      <c r="I44" s="28"/>
      <c r="J44" s="28"/>
      <c r="K44" s="28"/>
      <c r="L44" s="28"/>
      <c r="M44" s="28"/>
      <c r="N44" s="28"/>
      <c r="O44" s="44">
        <f t="shared" ref="O44:O45" si="26">SUM(C44:N44)</f>
        <v>0</v>
      </c>
    </row>
    <row r="45" spans="1:15" x14ac:dyDescent="0.25">
      <c r="A45" s="16" t="s">
        <v>51</v>
      </c>
      <c r="B45" s="17" t="s">
        <v>49</v>
      </c>
      <c r="C45" s="28">
        <f>+C32</f>
        <v>1330.8</v>
      </c>
      <c r="D45" s="28">
        <f>+D32</f>
        <v>1083.52</v>
      </c>
      <c r="E45" s="28">
        <f t="shared" ref="E45:H45" si="27">+E32</f>
        <v>1220.3499999999999</v>
      </c>
      <c r="F45" s="28">
        <f t="shared" si="27"/>
        <v>1296.3900000000001</v>
      </c>
      <c r="G45" s="28">
        <f t="shared" si="27"/>
        <v>2086.08</v>
      </c>
      <c r="H45" s="28">
        <f t="shared" si="27"/>
        <v>2125.73</v>
      </c>
      <c r="I45" s="28"/>
      <c r="J45" s="28"/>
      <c r="K45" s="28"/>
      <c r="L45" s="28"/>
      <c r="M45" s="28"/>
      <c r="N45" s="28"/>
      <c r="O45" s="43">
        <f t="shared" si="26"/>
        <v>9142.869999999999</v>
      </c>
    </row>
    <row r="46" spans="1:15" x14ac:dyDescent="0.25">
      <c r="A46" s="19" t="s">
        <v>48</v>
      </c>
      <c r="B46" s="20" t="s">
        <v>47</v>
      </c>
      <c r="C46" s="29">
        <f>+C43/C37</f>
        <v>43.62</v>
      </c>
      <c r="D46" s="29">
        <f>+D43/D37</f>
        <v>58.09</v>
      </c>
      <c r="E46" s="29">
        <f t="shared" ref="E46:H46" si="28">+E43/E37</f>
        <v>62.881221179837802</v>
      </c>
      <c r="F46" s="29">
        <f t="shared" si="28"/>
        <v>68.616632214978537</v>
      </c>
      <c r="G46" s="29">
        <f t="shared" si="28"/>
        <v>68.470345046907298</v>
      </c>
      <c r="H46" s="29">
        <f t="shared" si="28"/>
        <v>52.49</v>
      </c>
      <c r="I46" s="29"/>
      <c r="J46" s="29"/>
      <c r="K46" s="29"/>
      <c r="L46" s="29"/>
      <c r="M46" s="29"/>
      <c r="N46" s="29"/>
      <c r="O46" s="41">
        <f>SUM(C46:N46)/6</f>
        <v>59.028033073620612</v>
      </c>
    </row>
    <row r="47" spans="1:15" x14ac:dyDescent="0.25">
      <c r="A47" s="16" t="s">
        <v>50</v>
      </c>
      <c r="B47" s="17" t="s">
        <v>47</v>
      </c>
      <c r="C47" s="30">
        <f>+C44/C37</f>
        <v>0</v>
      </c>
      <c r="D47" s="30">
        <f>+D44/D37</f>
        <v>0</v>
      </c>
      <c r="E47" s="30">
        <f t="shared" ref="E47:H47" si="29">+E44/E37</f>
        <v>0</v>
      </c>
      <c r="F47" s="30">
        <f t="shared" si="29"/>
        <v>0</v>
      </c>
      <c r="G47" s="30">
        <f t="shared" si="29"/>
        <v>0</v>
      </c>
      <c r="H47" s="30">
        <f t="shared" si="29"/>
        <v>0</v>
      </c>
      <c r="I47" s="30"/>
      <c r="J47" s="30"/>
      <c r="K47" s="30"/>
      <c r="L47" s="30"/>
      <c r="M47" s="30"/>
      <c r="N47" s="30"/>
      <c r="O47" s="41">
        <f>SUM(C47:N47)/6</f>
        <v>0</v>
      </c>
    </row>
    <row r="48" spans="1:15" x14ac:dyDescent="0.25">
      <c r="A48" s="16" t="s">
        <v>51</v>
      </c>
      <c r="B48" s="17" t="s">
        <v>47</v>
      </c>
      <c r="C48" s="30">
        <f>+C45/C37</f>
        <v>4.7238647978282238</v>
      </c>
      <c r="D48" s="30">
        <f>+D45/D37</f>
        <v>8.7781337409417777</v>
      </c>
      <c r="E48" s="30">
        <f t="shared" ref="E48:H48" si="30">+E45/E37</f>
        <v>8.8658163603043949</v>
      </c>
      <c r="F48" s="30">
        <f t="shared" si="30"/>
        <v>5.9353971528146374</v>
      </c>
      <c r="G48" s="30">
        <f t="shared" si="30"/>
        <v>10.296939738245184</v>
      </c>
      <c r="H48" s="30">
        <f t="shared" si="30"/>
        <v>12.315802290761345</v>
      </c>
      <c r="I48" s="30"/>
      <c r="J48" s="30"/>
      <c r="K48" s="30"/>
      <c r="L48" s="30"/>
      <c r="M48" s="30"/>
      <c r="N48" s="30"/>
      <c r="O48" s="41">
        <f>SUM(C48:N48)/6</f>
        <v>8.4859923468159284</v>
      </c>
    </row>
    <row r="49" spans="1:15" x14ac:dyDescent="0.25">
      <c r="A49" s="19" t="s">
        <v>52</v>
      </c>
      <c r="B49" s="20" t="s">
        <v>47</v>
      </c>
      <c r="C49" s="29">
        <f>+C46-C47-C48</f>
        <v>38.896135202171777</v>
      </c>
      <c r="D49" s="29">
        <f>+D46-D47-D48</f>
        <v>49.311866259058228</v>
      </c>
      <c r="E49" s="29">
        <f t="shared" ref="E49:H49" si="31">+E46-E47-E48</f>
        <v>54.015404819533408</v>
      </c>
      <c r="F49" s="29">
        <f t="shared" si="31"/>
        <v>62.6812350621639</v>
      </c>
      <c r="G49" s="29">
        <f t="shared" si="31"/>
        <v>58.173405308662112</v>
      </c>
      <c r="H49" s="29">
        <f t="shared" si="31"/>
        <v>40.174197709238655</v>
      </c>
      <c r="I49" s="29"/>
      <c r="J49" s="29"/>
      <c r="K49" s="29"/>
      <c r="L49" s="29"/>
      <c r="M49" s="29"/>
      <c r="N49" s="29"/>
      <c r="O49" s="88">
        <f>SUM(C49:N49)/6</f>
        <v>50.542040726804679</v>
      </c>
    </row>
    <row r="50" spans="1:15" x14ac:dyDescent="0.25">
      <c r="A50" s="19" t="s">
        <v>53</v>
      </c>
      <c r="B50" s="31" t="s">
        <v>54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/>
      <c r="J50" s="29"/>
      <c r="K50" s="29"/>
      <c r="L50" s="29"/>
      <c r="M50" s="29"/>
      <c r="N50" s="29"/>
      <c r="O50" s="41">
        <f>SUM(C50:N50)/6</f>
        <v>0</v>
      </c>
    </row>
    <row r="51" spans="1:15" x14ac:dyDescent="0.25">
      <c r="A51" s="16" t="s">
        <v>55</v>
      </c>
      <c r="B51" s="32" t="s">
        <v>54</v>
      </c>
      <c r="C51" s="30">
        <v>0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/>
      <c r="J51" s="30"/>
      <c r="K51" s="30"/>
      <c r="L51" s="30"/>
      <c r="M51" s="30"/>
      <c r="N51" s="30"/>
      <c r="O51" s="41">
        <f>SUM(C51:N51)/6</f>
        <v>0</v>
      </c>
    </row>
    <row r="52" spans="1:15" x14ac:dyDescent="0.25">
      <c r="A52" s="19" t="s">
        <v>56</v>
      </c>
      <c r="B52" s="31" t="s">
        <v>54</v>
      </c>
      <c r="C52" s="29">
        <f>+C44/C43*100</f>
        <v>0</v>
      </c>
      <c r="D52" s="29">
        <f>+D44/D43*100</f>
        <v>0</v>
      </c>
      <c r="E52" s="29">
        <f t="shared" ref="E52:H52" si="32">+E44/E43*100</f>
        <v>0</v>
      </c>
      <c r="F52" s="29">
        <f t="shared" si="32"/>
        <v>0</v>
      </c>
      <c r="G52" s="29">
        <f t="shared" si="32"/>
        <v>0</v>
      </c>
      <c r="H52" s="29">
        <f t="shared" si="32"/>
        <v>0</v>
      </c>
      <c r="I52" s="29"/>
      <c r="J52" s="29"/>
      <c r="K52" s="29"/>
      <c r="L52" s="29"/>
      <c r="M52" s="29"/>
      <c r="N52" s="29"/>
      <c r="O52" s="40">
        <f>SUM(C52:N52)/6</f>
        <v>0</v>
      </c>
    </row>
    <row r="53" spans="1:15" x14ac:dyDescent="0.25">
      <c r="A53" s="16" t="s">
        <v>57</v>
      </c>
      <c r="B53" s="32" t="s">
        <v>54</v>
      </c>
      <c r="C53" s="30">
        <f>C45/C43*100</f>
        <v>10.82958458924398</v>
      </c>
      <c r="D53" s="30">
        <f>D45/D43*100</f>
        <v>15.111264832056767</v>
      </c>
      <c r="E53" s="30">
        <f t="shared" ref="E53:H53" si="33">E45/E43*100</f>
        <v>14.099306905870215</v>
      </c>
      <c r="F53" s="30">
        <f t="shared" si="33"/>
        <v>8.6500852070658478</v>
      </c>
      <c r="G53" s="30">
        <f t="shared" si="33"/>
        <v>15.038539284694727</v>
      </c>
      <c r="H53" s="30">
        <f t="shared" si="33"/>
        <v>23.463140199583435</v>
      </c>
      <c r="I53" s="30"/>
      <c r="J53" s="30"/>
      <c r="K53" s="30"/>
      <c r="L53" s="30"/>
      <c r="M53" s="30"/>
      <c r="N53" s="30"/>
      <c r="O53" s="41">
        <f>SUM(C53:N53)/6</f>
        <v>14.531986836419163</v>
      </c>
    </row>
    <row r="54" spans="1:15" x14ac:dyDescent="0.25">
      <c r="A54" s="33" t="s">
        <v>58</v>
      </c>
      <c r="B54" s="34" t="s">
        <v>54</v>
      </c>
      <c r="C54" s="35">
        <f>C45/(C43+C44)*100</f>
        <v>10.82958458924398</v>
      </c>
      <c r="D54" s="35">
        <f>D45/(D43+D44)*100</f>
        <v>15.111264832056767</v>
      </c>
      <c r="E54" s="35">
        <f t="shared" ref="E54:H54" si="34">E45/(E43+E44)*100</f>
        <v>14.099306905870215</v>
      </c>
      <c r="F54" s="35">
        <f t="shared" si="34"/>
        <v>8.6500852070658478</v>
      </c>
      <c r="G54" s="35">
        <f t="shared" si="34"/>
        <v>15.038539284694727</v>
      </c>
      <c r="H54" s="35">
        <f t="shared" si="34"/>
        <v>23.463140199583435</v>
      </c>
      <c r="I54" s="35"/>
      <c r="J54" s="35"/>
      <c r="K54" s="35"/>
      <c r="L54" s="35"/>
      <c r="M54" s="35"/>
      <c r="N54" s="35"/>
      <c r="O54" s="42">
        <f>SUM(C54:N54)/6</f>
        <v>14.531986836419163</v>
      </c>
    </row>
    <row r="62" spans="1:15" x14ac:dyDescent="0.25">
      <c r="A62" t="s">
        <v>37</v>
      </c>
    </row>
  </sheetData>
  <mergeCells count="3">
    <mergeCell ref="A1:O1"/>
    <mergeCell ref="A2:O2"/>
    <mergeCell ref="A3:N3"/>
  </mergeCells>
  <pageMargins left="0.7" right="0.7" top="0.75" bottom="0.75" header="0.3" footer="0.3"/>
  <pageSetup scale="4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56"/>
  <sheetViews>
    <sheetView topLeftCell="E36" workbookViewId="0">
      <selection activeCell="O57" sqref="O57"/>
    </sheetView>
  </sheetViews>
  <sheetFormatPr defaultRowHeight="15" x14ac:dyDescent="0.25"/>
  <cols>
    <col min="1" max="1" width="30.140625" customWidth="1"/>
    <col min="2" max="2" width="6.85546875" customWidth="1"/>
    <col min="3" max="15" width="15.42578125" customWidth="1"/>
  </cols>
  <sheetData>
    <row r="1" spans="1:15" ht="18" x14ac:dyDescent="0.25">
      <c r="A1" s="114" t="s">
        <v>0</v>
      </c>
      <c r="B1" s="114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1:15" ht="18" x14ac:dyDescent="0.25">
      <c r="A2" s="114" t="s">
        <v>38</v>
      </c>
      <c r="B2" s="114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spans="1:15" x14ac:dyDescent="0.25">
      <c r="A3" s="116" t="str">
        <f>+'100 5-30-9-7 '!A3:N3</f>
        <v xml:space="preserve">January 2019 - 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</row>
    <row r="4" spans="1:15" x14ac:dyDescent="0.25">
      <c r="N4" s="99"/>
    </row>
    <row r="5" spans="1:15" x14ac:dyDescent="0.25">
      <c r="A5" s="1"/>
      <c r="C5" s="109">
        <v>43466</v>
      </c>
      <c r="D5" s="109">
        <v>43514</v>
      </c>
      <c r="E5" s="109">
        <v>43542</v>
      </c>
      <c r="F5" s="109">
        <v>43573</v>
      </c>
      <c r="G5" s="109">
        <v>43603</v>
      </c>
      <c r="H5" s="109">
        <v>43634</v>
      </c>
      <c r="I5" s="109">
        <v>43664</v>
      </c>
      <c r="J5" s="109">
        <v>43695</v>
      </c>
      <c r="K5" s="109">
        <v>43726</v>
      </c>
      <c r="L5" s="109">
        <v>43756</v>
      </c>
      <c r="M5" s="109">
        <v>43787</v>
      </c>
      <c r="N5" s="109">
        <v>43817</v>
      </c>
      <c r="O5" s="2" t="s">
        <v>2</v>
      </c>
    </row>
    <row r="6" spans="1:15" x14ac:dyDescent="0.25">
      <c r="A6" s="3" t="s">
        <v>3</v>
      </c>
      <c r="B6" s="3"/>
      <c r="C6" s="4"/>
      <c r="D6" s="4"/>
      <c r="E6" s="4"/>
      <c r="F6" s="4"/>
      <c r="G6" s="4"/>
      <c r="H6" s="4"/>
      <c r="I6" s="78"/>
      <c r="J6" s="78"/>
      <c r="K6" s="78"/>
      <c r="L6" s="78"/>
      <c r="M6" s="78"/>
      <c r="N6" s="78"/>
      <c r="O6" s="4"/>
    </row>
    <row r="7" spans="1:15" x14ac:dyDescent="0.25">
      <c r="A7" s="3" t="s">
        <v>21</v>
      </c>
      <c r="B7" s="3"/>
      <c r="C7" s="4"/>
      <c r="D7" s="4"/>
      <c r="E7" s="4"/>
      <c r="F7" s="4"/>
      <c r="G7" s="4"/>
      <c r="H7" s="4"/>
      <c r="I7" s="78"/>
      <c r="J7" s="78"/>
      <c r="K7" s="78"/>
      <c r="L7" s="78"/>
      <c r="M7" s="78"/>
      <c r="N7" s="78"/>
      <c r="O7" s="6"/>
    </row>
    <row r="8" spans="1:15" x14ac:dyDescent="0.25">
      <c r="A8" s="3" t="s">
        <v>22</v>
      </c>
      <c r="B8" s="3"/>
      <c r="C8" s="4"/>
      <c r="D8" s="4"/>
      <c r="E8" s="4"/>
      <c r="F8" s="4"/>
      <c r="G8" s="4"/>
      <c r="H8" s="4"/>
      <c r="I8" s="78"/>
      <c r="J8" s="78"/>
      <c r="K8" s="78"/>
      <c r="L8" s="78"/>
      <c r="M8" s="78"/>
      <c r="N8" s="78"/>
      <c r="O8" s="6"/>
    </row>
    <row r="9" spans="1:15" x14ac:dyDescent="0.25">
      <c r="A9" s="3" t="s">
        <v>23</v>
      </c>
      <c r="B9" s="3"/>
      <c r="C9" s="6">
        <v>18818.830000000002</v>
      </c>
      <c r="D9" s="6">
        <v>13133.7</v>
      </c>
      <c r="E9" s="6">
        <v>14017.41</v>
      </c>
      <c r="F9" s="6">
        <v>24932.99</v>
      </c>
      <c r="G9" s="6">
        <v>23077.26</v>
      </c>
      <c r="H9" s="6">
        <v>8487.6299999999992</v>
      </c>
      <c r="I9" s="79"/>
      <c r="J9" s="79"/>
      <c r="K9" s="79"/>
      <c r="L9" s="79"/>
      <c r="M9" s="79"/>
      <c r="N9" s="79"/>
      <c r="O9" s="6">
        <f>SUM(C9:N9)</f>
        <v>102467.82</v>
      </c>
    </row>
    <row r="10" spans="1:15" x14ac:dyDescent="0.25">
      <c r="A10" s="3" t="s">
        <v>24</v>
      </c>
      <c r="B10" s="3"/>
      <c r="C10" s="5">
        <f t="shared" ref="C10:J10" si="0">(C8)+(C9)</f>
        <v>18818.830000000002</v>
      </c>
      <c r="D10" s="5">
        <f t="shared" si="0"/>
        <v>13133.7</v>
      </c>
      <c r="E10" s="5">
        <f t="shared" si="0"/>
        <v>14017.41</v>
      </c>
      <c r="F10" s="5">
        <f t="shared" si="0"/>
        <v>24932.99</v>
      </c>
      <c r="G10" s="5">
        <f t="shared" si="0"/>
        <v>23077.26</v>
      </c>
      <c r="H10" s="5">
        <f t="shared" si="0"/>
        <v>8487.6299999999992</v>
      </c>
      <c r="I10" s="82">
        <f t="shared" si="0"/>
        <v>0</v>
      </c>
      <c r="J10" s="82">
        <f t="shared" si="0"/>
        <v>0</v>
      </c>
      <c r="K10" s="82">
        <f t="shared" ref="K10:L10" si="1">(K8)+(K9)</f>
        <v>0</v>
      </c>
      <c r="L10" s="82">
        <f t="shared" si="1"/>
        <v>0</v>
      </c>
      <c r="M10" s="82">
        <f t="shared" ref="M10:N10" si="2">(M8)+(M9)</f>
        <v>0</v>
      </c>
      <c r="N10" s="82">
        <f t="shared" si="2"/>
        <v>0</v>
      </c>
      <c r="O10" s="86">
        <f t="shared" ref="O10:O36" si="3">SUM(C10:N10)</f>
        <v>102467.82</v>
      </c>
    </row>
    <row r="11" spans="1:15" x14ac:dyDescent="0.25">
      <c r="A11" s="3" t="s">
        <v>25</v>
      </c>
      <c r="B11" s="3"/>
      <c r="C11" s="5">
        <f t="shared" ref="C11:J11" si="4">(C7)+(C10)</f>
        <v>18818.830000000002</v>
      </c>
      <c r="D11" s="5">
        <f t="shared" si="4"/>
        <v>13133.7</v>
      </c>
      <c r="E11" s="5">
        <f t="shared" si="4"/>
        <v>14017.41</v>
      </c>
      <c r="F11" s="5">
        <f t="shared" si="4"/>
        <v>24932.99</v>
      </c>
      <c r="G11" s="5">
        <f t="shared" si="4"/>
        <v>23077.26</v>
      </c>
      <c r="H11" s="5">
        <f t="shared" si="4"/>
        <v>8487.6299999999992</v>
      </c>
      <c r="I11" s="82">
        <f t="shared" si="4"/>
        <v>0</v>
      </c>
      <c r="J11" s="82">
        <f t="shared" si="4"/>
        <v>0</v>
      </c>
      <c r="K11" s="82">
        <f t="shared" ref="K11:L11" si="5">(K7)+(K10)</f>
        <v>0</v>
      </c>
      <c r="L11" s="82">
        <f t="shared" si="5"/>
        <v>0</v>
      </c>
      <c r="M11" s="82">
        <f t="shared" ref="M11:N11" si="6">(M7)+(M10)</f>
        <v>0</v>
      </c>
      <c r="N11" s="82">
        <f t="shared" si="6"/>
        <v>0</v>
      </c>
      <c r="O11" s="107">
        <f t="shared" si="3"/>
        <v>102467.82</v>
      </c>
    </row>
    <row r="12" spans="1:15" x14ac:dyDescent="0.25">
      <c r="A12" s="3" t="s">
        <v>26</v>
      </c>
      <c r="B12" s="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6"/>
    </row>
    <row r="13" spans="1:15" x14ac:dyDescent="0.25">
      <c r="A13" s="3" t="s">
        <v>34</v>
      </c>
      <c r="B13" s="3"/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f t="shared" si="3"/>
        <v>0</v>
      </c>
    </row>
    <row r="14" spans="1:15" x14ac:dyDescent="0.25">
      <c r="A14" s="3" t="s">
        <v>27</v>
      </c>
      <c r="B14" s="3"/>
      <c r="C14" s="5">
        <f t="shared" ref="C14:H14" si="7">(C12)+(C13)</f>
        <v>0</v>
      </c>
      <c r="D14" s="5">
        <f t="shared" si="7"/>
        <v>0</v>
      </c>
      <c r="E14" s="5">
        <f t="shared" si="7"/>
        <v>0</v>
      </c>
      <c r="F14" s="5">
        <f t="shared" si="7"/>
        <v>0</v>
      </c>
      <c r="G14" s="5">
        <f t="shared" si="7"/>
        <v>0</v>
      </c>
      <c r="H14" s="5">
        <f t="shared" si="7"/>
        <v>0</v>
      </c>
      <c r="I14" s="5">
        <f t="shared" ref="I14:J14" si="8">(I12)+(I13)</f>
        <v>0</v>
      </c>
      <c r="J14" s="5">
        <f t="shared" si="8"/>
        <v>0</v>
      </c>
      <c r="K14" s="5">
        <f t="shared" ref="K14:L14" si="9">(K12)+(K13)</f>
        <v>0</v>
      </c>
      <c r="L14" s="5">
        <f t="shared" si="9"/>
        <v>0</v>
      </c>
      <c r="M14" s="5">
        <f t="shared" ref="M14:N14" si="10">(M12)+(M13)</f>
        <v>0</v>
      </c>
      <c r="N14" s="5">
        <f t="shared" si="10"/>
        <v>0</v>
      </c>
      <c r="O14" s="86">
        <f t="shared" si="3"/>
        <v>0</v>
      </c>
    </row>
    <row r="15" spans="1:15" x14ac:dyDescent="0.25">
      <c r="A15" s="3" t="s">
        <v>4</v>
      </c>
      <c r="B15" s="3"/>
      <c r="C15" s="5">
        <f t="shared" ref="C15:H15" si="11">(C11)+(C14)</f>
        <v>18818.830000000002</v>
      </c>
      <c r="D15" s="5">
        <f t="shared" si="11"/>
        <v>13133.7</v>
      </c>
      <c r="E15" s="5">
        <f t="shared" si="11"/>
        <v>14017.41</v>
      </c>
      <c r="F15" s="5">
        <f t="shared" si="11"/>
        <v>24932.99</v>
      </c>
      <c r="G15" s="5">
        <f t="shared" si="11"/>
        <v>23077.26</v>
      </c>
      <c r="H15" s="5">
        <f t="shared" si="11"/>
        <v>8487.6299999999992</v>
      </c>
      <c r="I15" s="5">
        <f t="shared" ref="I15:J15" si="12">(I11)+(I14)</f>
        <v>0</v>
      </c>
      <c r="J15" s="5">
        <f t="shared" si="12"/>
        <v>0</v>
      </c>
      <c r="K15" s="5">
        <f t="shared" ref="K15:L15" si="13">(K11)+(K14)</f>
        <v>0</v>
      </c>
      <c r="L15" s="5">
        <f t="shared" si="13"/>
        <v>0</v>
      </c>
      <c r="M15" s="5">
        <f t="shared" ref="M15:N15" si="14">(M11)+(M14)</f>
        <v>0</v>
      </c>
      <c r="N15" s="5">
        <f t="shared" si="14"/>
        <v>0</v>
      </c>
      <c r="O15" s="86">
        <f t="shared" si="3"/>
        <v>102467.82</v>
      </c>
    </row>
    <row r="16" spans="1:15" x14ac:dyDescent="0.25">
      <c r="A16" s="3" t="s">
        <v>5</v>
      </c>
      <c r="B16" s="3"/>
      <c r="C16" s="5">
        <f t="shared" ref="C16:H16" si="15">(C15)-(0)</f>
        <v>18818.830000000002</v>
      </c>
      <c r="D16" s="5">
        <f t="shared" si="15"/>
        <v>13133.7</v>
      </c>
      <c r="E16" s="5">
        <f t="shared" si="15"/>
        <v>14017.41</v>
      </c>
      <c r="F16" s="5">
        <f t="shared" si="15"/>
        <v>24932.99</v>
      </c>
      <c r="G16" s="5">
        <f t="shared" si="15"/>
        <v>23077.26</v>
      </c>
      <c r="H16" s="5">
        <f t="shared" si="15"/>
        <v>8487.6299999999992</v>
      </c>
      <c r="I16" s="5">
        <f t="shared" ref="I16:J16" si="16">(I15)-(0)</f>
        <v>0</v>
      </c>
      <c r="J16" s="5">
        <f t="shared" si="16"/>
        <v>0</v>
      </c>
      <c r="K16" s="5">
        <f t="shared" ref="K16:L16" si="17">(K15)-(0)</f>
        <v>0</v>
      </c>
      <c r="L16" s="5">
        <f t="shared" si="17"/>
        <v>0</v>
      </c>
      <c r="M16" s="5">
        <f t="shared" ref="M16:N16" si="18">(M15)-(0)</f>
        <v>0</v>
      </c>
      <c r="N16" s="5">
        <f t="shared" si="18"/>
        <v>0</v>
      </c>
      <c r="O16" s="107">
        <f t="shared" si="3"/>
        <v>102467.82</v>
      </c>
    </row>
    <row r="17" spans="1:15" x14ac:dyDescent="0.25">
      <c r="A17" s="3" t="s">
        <v>6</v>
      </c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6">
        <f t="shared" si="3"/>
        <v>0</v>
      </c>
    </row>
    <row r="18" spans="1:15" x14ac:dyDescent="0.25">
      <c r="A18" s="3" t="s">
        <v>7</v>
      </c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6">
        <f t="shared" si="3"/>
        <v>0</v>
      </c>
    </row>
    <row r="19" spans="1:15" x14ac:dyDescent="0.25">
      <c r="A19" s="3" t="s">
        <v>28</v>
      </c>
      <c r="B19" s="3"/>
      <c r="C19" s="6">
        <v>278.52</v>
      </c>
      <c r="D19" s="6">
        <v>835.53</v>
      </c>
      <c r="E19" s="4"/>
      <c r="F19" s="4">
        <v>278.51</v>
      </c>
      <c r="G19" s="6">
        <v>278.51</v>
      </c>
      <c r="H19" s="4">
        <v>557.01</v>
      </c>
      <c r="I19" s="78"/>
      <c r="J19" s="79"/>
      <c r="K19" s="79"/>
      <c r="L19" s="78"/>
      <c r="M19" s="78"/>
      <c r="N19" s="78"/>
      <c r="O19" s="6">
        <f t="shared" si="3"/>
        <v>2228.08</v>
      </c>
    </row>
    <row r="20" spans="1:15" x14ac:dyDescent="0.25">
      <c r="A20" s="3" t="s">
        <v>17</v>
      </c>
      <c r="B20" s="3"/>
      <c r="C20" s="6">
        <v>860.91</v>
      </c>
      <c r="D20" s="6">
        <v>669.1</v>
      </c>
      <c r="E20" s="6">
        <v>860.9</v>
      </c>
      <c r="F20" s="6">
        <v>790.9</v>
      </c>
      <c r="G20" s="6">
        <v>770</v>
      </c>
      <c r="H20" s="6">
        <v>1624.56</v>
      </c>
      <c r="I20" s="79"/>
      <c r="J20" s="79"/>
      <c r="K20" s="79"/>
      <c r="L20" s="79"/>
      <c r="M20" s="79"/>
      <c r="N20" s="79"/>
      <c r="O20" s="6">
        <f t="shared" si="3"/>
        <v>5576.37</v>
      </c>
    </row>
    <row r="21" spans="1:15" x14ac:dyDescent="0.25">
      <c r="A21" s="3" t="s">
        <v>8</v>
      </c>
      <c r="B21" s="3"/>
      <c r="C21" s="6">
        <v>566.20000000000005</v>
      </c>
      <c r="D21" s="6">
        <v>968.58</v>
      </c>
      <c r="E21" s="6">
        <v>681.66</v>
      </c>
      <c r="F21" s="6">
        <v>586.98</v>
      </c>
      <c r="G21" s="6">
        <v>781.76</v>
      </c>
      <c r="H21" s="6">
        <v>584.44000000000005</v>
      </c>
      <c r="I21" s="79"/>
      <c r="J21" s="79"/>
      <c r="K21" s="79"/>
      <c r="L21" s="79"/>
      <c r="M21" s="79"/>
      <c r="N21" s="79"/>
      <c r="O21" s="6">
        <f t="shared" si="3"/>
        <v>4169.6200000000008</v>
      </c>
    </row>
    <row r="22" spans="1:15" x14ac:dyDescent="0.25">
      <c r="A22" s="3" t="s">
        <v>9</v>
      </c>
      <c r="B22" s="3"/>
      <c r="C22" s="4"/>
      <c r="D22" s="4"/>
      <c r="E22" s="4"/>
      <c r="F22" s="4"/>
      <c r="G22" s="4"/>
      <c r="H22" s="4"/>
      <c r="I22" s="78"/>
      <c r="J22" s="78"/>
      <c r="K22" s="78"/>
      <c r="L22" s="78"/>
      <c r="M22" s="78"/>
      <c r="N22" s="78"/>
      <c r="O22" s="6"/>
    </row>
    <row r="23" spans="1:15" x14ac:dyDescent="0.25">
      <c r="A23" s="3" t="s">
        <v>11</v>
      </c>
      <c r="B23" s="3"/>
      <c r="C23" s="4"/>
      <c r="D23" s="4"/>
      <c r="E23" s="4"/>
      <c r="F23" s="4"/>
      <c r="G23" s="4"/>
      <c r="H23" s="6">
        <v>4080</v>
      </c>
      <c r="I23" s="79"/>
      <c r="J23" s="78"/>
      <c r="K23" s="78"/>
      <c r="L23" s="78"/>
      <c r="M23" s="78"/>
      <c r="N23" s="78"/>
      <c r="O23" s="6">
        <f t="shared" si="3"/>
        <v>4080</v>
      </c>
    </row>
    <row r="24" spans="1:15" x14ac:dyDescent="0.25">
      <c r="A24" s="3" t="s">
        <v>12</v>
      </c>
      <c r="B24" s="3"/>
      <c r="C24" s="5">
        <f t="shared" ref="C24:N24" si="19">(C22)+(C23)</f>
        <v>0</v>
      </c>
      <c r="D24" s="5">
        <f t="shared" si="19"/>
        <v>0</v>
      </c>
      <c r="E24" s="5">
        <f t="shared" si="19"/>
        <v>0</v>
      </c>
      <c r="F24" s="5">
        <f t="shared" si="19"/>
        <v>0</v>
      </c>
      <c r="G24" s="5">
        <f t="shared" si="19"/>
        <v>0</v>
      </c>
      <c r="H24" s="5">
        <f t="shared" si="19"/>
        <v>4080</v>
      </c>
      <c r="I24" s="82">
        <f t="shared" si="19"/>
        <v>0</v>
      </c>
      <c r="J24" s="82">
        <f t="shared" si="19"/>
        <v>0</v>
      </c>
      <c r="K24" s="82">
        <f t="shared" si="19"/>
        <v>0</v>
      </c>
      <c r="L24" s="82">
        <f t="shared" si="19"/>
        <v>0</v>
      </c>
      <c r="M24" s="82">
        <f t="shared" si="19"/>
        <v>0</v>
      </c>
      <c r="N24" s="82">
        <f t="shared" si="19"/>
        <v>0</v>
      </c>
      <c r="O24" s="107">
        <f t="shared" si="3"/>
        <v>4080</v>
      </c>
    </row>
    <row r="25" spans="1:15" x14ac:dyDescent="0.25">
      <c r="A25" s="3" t="s">
        <v>13</v>
      </c>
      <c r="B25" s="3"/>
      <c r="C25" s="6"/>
      <c r="D25" s="6"/>
      <c r="E25" s="6">
        <v>114.6</v>
      </c>
      <c r="F25" s="6"/>
      <c r="G25" s="4">
        <v>673.6</v>
      </c>
      <c r="H25" s="4"/>
      <c r="I25" s="78"/>
      <c r="J25" s="79"/>
      <c r="K25" s="79"/>
      <c r="L25" s="79"/>
      <c r="M25" s="79"/>
      <c r="N25" s="79"/>
      <c r="O25" s="6">
        <f t="shared" si="3"/>
        <v>788.2</v>
      </c>
    </row>
    <row r="26" spans="1:15" x14ac:dyDescent="0.25">
      <c r="A26" s="3" t="s">
        <v>73</v>
      </c>
      <c r="B26" s="3"/>
      <c r="C26" s="6"/>
      <c r="D26" s="6"/>
      <c r="E26" s="6"/>
      <c r="F26" s="6"/>
      <c r="G26" s="4"/>
      <c r="H26" s="4"/>
      <c r="I26" s="78"/>
      <c r="J26" s="79"/>
      <c r="K26" s="79"/>
      <c r="L26" s="79"/>
      <c r="M26" s="79"/>
      <c r="N26" s="79"/>
      <c r="O26" s="6">
        <f t="shared" si="3"/>
        <v>0</v>
      </c>
    </row>
    <row r="27" spans="1:15" ht="14.25" customHeight="1" x14ac:dyDescent="0.25">
      <c r="A27" s="3" t="s">
        <v>29</v>
      </c>
      <c r="B27" s="3"/>
      <c r="C27" s="6"/>
      <c r="D27" s="6"/>
      <c r="E27" s="6">
        <v>712.5</v>
      </c>
      <c r="F27" s="6"/>
      <c r="G27" s="4"/>
      <c r="H27" s="4"/>
      <c r="I27" s="78"/>
      <c r="J27" s="79"/>
      <c r="K27" s="79"/>
      <c r="L27" s="79"/>
      <c r="M27" s="79"/>
      <c r="N27" s="79"/>
      <c r="O27" s="6">
        <f t="shared" si="3"/>
        <v>712.5</v>
      </c>
    </row>
    <row r="28" spans="1:15" x14ac:dyDescent="0.25">
      <c r="A28" s="3" t="s">
        <v>30</v>
      </c>
      <c r="B28" s="3"/>
      <c r="C28" s="4"/>
      <c r="D28" s="4"/>
      <c r="E28" s="4"/>
      <c r="F28" s="4"/>
      <c r="G28" s="6">
        <v>231.82</v>
      </c>
      <c r="H28" s="4"/>
      <c r="I28" s="78"/>
      <c r="J28" s="78"/>
      <c r="K28" s="78"/>
      <c r="L28" s="78"/>
      <c r="M28" s="78"/>
      <c r="N28" s="78"/>
      <c r="O28" s="6">
        <f t="shared" si="3"/>
        <v>231.82</v>
      </c>
    </row>
    <row r="29" spans="1:15" x14ac:dyDescent="0.25">
      <c r="A29" s="3" t="s">
        <v>18</v>
      </c>
      <c r="B29" s="3"/>
      <c r="C29" s="4"/>
      <c r="D29" s="4"/>
      <c r="E29" s="4"/>
      <c r="F29" s="4"/>
      <c r="G29" s="6">
        <v>204.75</v>
      </c>
      <c r="H29" s="4"/>
      <c r="I29" s="78"/>
      <c r="J29" s="78"/>
      <c r="K29" s="78"/>
      <c r="L29" s="78"/>
      <c r="M29" s="78"/>
      <c r="N29" s="78"/>
      <c r="O29" s="6">
        <f t="shared" si="3"/>
        <v>204.75</v>
      </c>
    </row>
    <row r="30" spans="1:15" s="111" customFormat="1" x14ac:dyDescent="0.25">
      <c r="A30" s="3" t="s">
        <v>31</v>
      </c>
      <c r="B30" s="3"/>
      <c r="C30" s="4"/>
      <c r="D30" s="4"/>
      <c r="E30" s="4">
        <v>249.48</v>
      </c>
      <c r="F30" s="4"/>
      <c r="G30" s="6"/>
      <c r="H30" s="4">
        <v>204.75</v>
      </c>
      <c r="I30" s="78"/>
      <c r="J30" s="78"/>
      <c r="K30" s="78"/>
      <c r="L30" s="78"/>
      <c r="M30" s="78"/>
      <c r="N30" s="78"/>
      <c r="O30" s="6">
        <f t="shared" si="3"/>
        <v>454.23</v>
      </c>
    </row>
    <row r="31" spans="1:15" s="111" customFormat="1" x14ac:dyDescent="0.25">
      <c r="A31" s="3" t="s">
        <v>71</v>
      </c>
      <c r="B31" s="3"/>
      <c r="C31" s="4"/>
      <c r="D31" s="4"/>
      <c r="E31" s="4"/>
      <c r="F31" s="4">
        <v>159.9</v>
      </c>
      <c r="G31" s="6"/>
      <c r="H31" s="4"/>
      <c r="I31" s="78"/>
      <c r="J31" s="78"/>
      <c r="K31" s="78"/>
      <c r="L31" s="78"/>
      <c r="M31" s="78"/>
      <c r="N31" s="78"/>
      <c r="O31" s="6">
        <f t="shared" si="3"/>
        <v>159.9</v>
      </c>
    </row>
    <row r="32" spans="1:15" x14ac:dyDescent="0.25">
      <c r="A32" s="3" t="s">
        <v>32</v>
      </c>
      <c r="B32" s="3"/>
      <c r="C32" s="6">
        <v>1010.99</v>
      </c>
      <c r="D32" s="6">
        <v>644.94000000000005</v>
      </c>
      <c r="E32" s="6">
        <v>614.11</v>
      </c>
      <c r="F32" s="6">
        <v>984.4</v>
      </c>
      <c r="G32" s="6">
        <v>1040.5899999999999</v>
      </c>
      <c r="H32" s="6">
        <f>1067.4+135.83+99.99</f>
        <v>1303.22</v>
      </c>
      <c r="I32" s="79"/>
      <c r="J32" s="79"/>
      <c r="K32" s="79"/>
      <c r="L32" s="79"/>
      <c r="M32" s="79"/>
      <c r="N32" s="79"/>
      <c r="O32" s="6">
        <f t="shared" si="3"/>
        <v>5598.25</v>
      </c>
    </row>
    <row r="33" spans="1:16" s="111" customFormat="1" x14ac:dyDescent="0.25">
      <c r="A33" s="3" t="s">
        <v>79</v>
      </c>
      <c r="B33" s="3"/>
      <c r="C33" s="6"/>
      <c r="D33" s="6"/>
      <c r="E33" s="6"/>
      <c r="F33" s="6"/>
      <c r="G33" s="6">
        <v>10455</v>
      </c>
      <c r="H33" s="6">
        <v>1140</v>
      </c>
      <c r="I33" s="79"/>
      <c r="J33" s="79"/>
      <c r="K33" s="79"/>
      <c r="L33" s="79"/>
      <c r="M33" s="79"/>
      <c r="N33" s="79"/>
      <c r="O33" s="6">
        <f t="shared" si="3"/>
        <v>11595</v>
      </c>
    </row>
    <row r="34" spans="1:16" x14ac:dyDescent="0.25">
      <c r="A34" s="3" t="s">
        <v>14</v>
      </c>
      <c r="B34" s="3"/>
      <c r="C34" s="5">
        <f>+C19+C20+C21+C24+C25+C26+C27+C28+C32+C29+C30+C31+C33</f>
        <v>2716.62</v>
      </c>
      <c r="D34" s="5">
        <f t="shared" ref="D34:N34" si="20">+D19+D20+D21+D24+D25+D26+D27+D28+D32+D29+D30+D31+D33</f>
        <v>3118.15</v>
      </c>
      <c r="E34" s="5">
        <f t="shared" si="20"/>
        <v>3233.25</v>
      </c>
      <c r="F34" s="5">
        <f t="shared" si="20"/>
        <v>2800.69</v>
      </c>
      <c r="G34" s="5">
        <f t="shared" si="20"/>
        <v>14436.029999999999</v>
      </c>
      <c r="H34" s="5">
        <f t="shared" si="20"/>
        <v>9493.98</v>
      </c>
      <c r="I34" s="5">
        <f t="shared" si="20"/>
        <v>0</v>
      </c>
      <c r="J34" s="5">
        <f t="shared" si="20"/>
        <v>0</v>
      </c>
      <c r="K34" s="5">
        <f t="shared" si="20"/>
        <v>0</v>
      </c>
      <c r="L34" s="5">
        <f t="shared" si="20"/>
        <v>0</v>
      </c>
      <c r="M34" s="5">
        <f t="shared" si="20"/>
        <v>0</v>
      </c>
      <c r="N34" s="5">
        <f t="shared" si="20"/>
        <v>0</v>
      </c>
      <c r="O34" s="86">
        <f t="shared" si="3"/>
        <v>35798.720000000001</v>
      </c>
    </row>
    <row r="35" spans="1:16" x14ac:dyDescent="0.25">
      <c r="A35" s="3" t="s">
        <v>15</v>
      </c>
      <c r="B35" s="3"/>
      <c r="C35" s="5">
        <f t="shared" ref="C35:N35" si="21">C34</f>
        <v>2716.62</v>
      </c>
      <c r="D35" s="5">
        <f t="shared" si="21"/>
        <v>3118.15</v>
      </c>
      <c r="E35" s="5">
        <f t="shared" si="21"/>
        <v>3233.25</v>
      </c>
      <c r="F35" s="5">
        <f t="shared" si="21"/>
        <v>2800.69</v>
      </c>
      <c r="G35" s="5">
        <f t="shared" si="21"/>
        <v>14436.029999999999</v>
      </c>
      <c r="H35" s="5">
        <f t="shared" si="21"/>
        <v>9493.98</v>
      </c>
      <c r="I35" s="5">
        <f t="shared" si="21"/>
        <v>0</v>
      </c>
      <c r="J35" s="5">
        <f t="shared" si="21"/>
        <v>0</v>
      </c>
      <c r="K35" s="5">
        <f t="shared" si="21"/>
        <v>0</v>
      </c>
      <c r="L35" s="5">
        <f t="shared" si="21"/>
        <v>0</v>
      </c>
      <c r="M35" s="5">
        <f t="shared" si="21"/>
        <v>0</v>
      </c>
      <c r="N35" s="5">
        <f t="shared" si="21"/>
        <v>0</v>
      </c>
      <c r="O35" s="86">
        <f t="shared" si="3"/>
        <v>35798.720000000001</v>
      </c>
      <c r="P35" s="91"/>
    </row>
    <row r="36" spans="1:16" x14ac:dyDescent="0.25">
      <c r="A36" s="3" t="s">
        <v>16</v>
      </c>
      <c r="B36" s="3"/>
      <c r="C36" s="5">
        <f>(((C16)-(C35))+(0))-(0)</f>
        <v>16102.210000000003</v>
      </c>
      <c r="D36" s="5">
        <f t="shared" ref="D36:N36" si="22">(((D16)-(D35))+(0))-(0)</f>
        <v>10015.550000000001</v>
      </c>
      <c r="E36" s="5">
        <f t="shared" si="22"/>
        <v>10784.16</v>
      </c>
      <c r="F36" s="5">
        <f t="shared" si="22"/>
        <v>22132.300000000003</v>
      </c>
      <c r="G36" s="5">
        <f t="shared" si="22"/>
        <v>8641.23</v>
      </c>
      <c r="H36" s="5">
        <f t="shared" si="22"/>
        <v>-1006.3500000000004</v>
      </c>
      <c r="I36" s="5">
        <f t="shared" si="22"/>
        <v>0</v>
      </c>
      <c r="J36" s="5">
        <f t="shared" si="22"/>
        <v>0</v>
      </c>
      <c r="K36" s="5">
        <f t="shared" si="22"/>
        <v>0</v>
      </c>
      <c r="L36" s="5">
        <f t="shared" si="22"/>
        <v>0</v>
      </c>
      <c r="M36" s="5">
        <f t="shared" si="22"/>
        <v>0</v>
      </c>
      <c r="N36" s="5">
        <f t="shared" si="22"/>
        <v>0</v>
      </c>
      <c r="O36" s="107">
        <f t="shared" si="3"/>
        <v>66669.099999999991</v>
      </c>
    </row>
    <row r="37" spans="1:16" x14ac:dyDescent="0.25">
      <c r="A37" s="3"/>
      <c r="B37" s="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6" x14ac:dyDescent="0.25">
      <c r="A38" s="13" t="s">
        <v>43</v>
      </c>
      <c r="B38" s="13"/>
      <c r="C38" s="14"/>
      <c r="D38" s="14"/>
      <c r="E38" s="14"/>
      <c r="F38" s="14"/>
      <c r="G38" s="14"/>
      <c r="H38" s="15"/>
      <c r="I38" s="18"/>
      <c r="J38" s="15"/>
      <c r="K38" s="15"/>
      <c r="L38" s="15"/>
      <c r="M38" s="15"/>
      <c r="N38" s="15"/>
      <c r="O38" s="36"/>
    </row>
    <row r="39" spans="1:16" x14ac:dyDescent="0.25">
      <c r="A39" s="16" t="s">
        <v>44</v>
      </c>
      <c r="B39" s="17" t="s">
        <v>45</v>
      </c>
      <c r="C39" s="18">
        <f>C45/C43</f>
        <v>431.42663915635035</v>
      </c>
      <c r="D39" s="18">
        <f>D45/D43</f>
        <v>226.0922706145636</v>
      </c>
      <c r="E39" s="18">
        <f t="shared" ref="E39:H39" si="23">E45/E43</f>
        <v>222.91885776058263</v>
      </c>
      <c r="F39" s="18">
        <f t="shared" si="23"/>
        <v>363.36656573123537</v>
      </c>
      <c r="G39" s="18">
        <f t="shared" si="23"/>
        <v>337.04021769118225</v>
      </c>
      <c r="H39" s="18">
        <f t="shared" si="23"/>
        <v>161.69994284625642</v>
      </c>
      <c r="I39" s="18"/>
      <c r="J39" s="18"/>
      <c r="K39" s="18"/>
      <c r="L39" s="18"/>
      <c r="M39" s="18"/>
      <c r="N39" s="18"/>
      <c r="O39" s="6">
        <f t="shared" ref="O39" si="24">SUM(C39:N39)</f>
        <v>1742.5444938001706</v>
      </c>
    </row>
    <row r="40" spans="1:16" x14ac:dyDescent="0.25">
      <c r="A40" s="19"/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36"/>
    </row>
    <row r="41" spans="1:16" x14ac:dyDescent="0.25">
      <c r="A41" s="16" t="s">
        <v>59</v>
      </c>
      <c r="B41" s="17" t="s">
        <v>46</v>
      </c>
      <c r="C41" s="18">
        <f>57.6/672*24*6.289</f>
        <v>12.937371428571426</v>
      </c>
      <c r="D41" s="18">
        <f>39.3/432*24*6.289</f>
        <v>13.730983333333331</v>
      </c>
      <c r="E41" s="18">
        <v>8.8000000000000007</v>
      </c>
      <c r="F41" s="18">
        <v>14</v>
      </c>
      <c r="G41" s="18">
        <v>13</v>
      </c>
      <c r="H41" s="18">
        <v>8.8000000000000007</v>
      </c>
      <c r="I41" s="18"/>
      <c r="J41" s="18"/>
      <c r="K41" s="18"/>
      <c r="L41" s="18"/>
      <c r="M41" s="18"/>
      <c r="N41" s="18"/>
      <c r="O41" s="37">
        <f>SUM(C41:N41)/6</f>
        <v>11.878059126984127</v>
      </c>
    </row>
    <row r="42" spans="1:16" x14ac:dyDescent="0.25">
      <c r="A42" s="19"/>
      <c r="B42" s="13"/>
      <c r="C42" s="22"/>
      <c r="D42" s="22"/>
      <c r="E42" s="14"/>
      <c r="F42" s="14"/>
      <c r="G42" s="14"/>
      <c r="H42" s="14"/>
      <c r="I42" s="15"/>
      <c r="J42" s="15"/>
      <c r="K42" s="15"/>
      <c r="L42" s="15"/>
      <c r="M42" s="15"/>
      <c r="N42" s="15"/>
      <c r="O42" s="38"/>
    </row>
    <row r="43" spans="1:16" x14ac:dyDescent="0.25">
      <c r="A43" s="16" t="s">
        <v>44</v>
      </c>
      <c r="B43" s="17" t="s">
        <v>47</v>
      </c>
      <c r="C43" s="21">
        <f>+'SAT 10-36-9-8'!C41</f>
        <v>43.62</v>
      </c>
      <c r="D43" s="21">
        <f>+'SAT 10-36-9-8'!D41</f>
        <v>58.09</v>
      </c>
      <c r="E43" s="21">
        <f>+'SAT 10-36-9-8'!E41</f>
        <v>62.881221179837809</v>
      </c>
      <c r="F43" s="21">
        <f>+'SAT 10-36-9-8'!F41</f>
        <v>68.616632214978537</v>
      </c>
      <c r="G43" s="21">
        <f>+'SAT 10-36-9-8'!G41</f>
        <v>68.470345046907298</v>
      </c>
      <c r="H43" s="21">
        <f>+'SAT 10-36-9-8'!H41</f>
        <v>52.49</v>
      </c>
      <c r="I43" s="21"/>
      <c r="J43" s="21"/>
      <c r="K43" s="21"/>
      <c r="L43" s="21"/>
      <c r="M43" s="21"/>
      <c r="N43" s="21"/>
      <c r="O43" s="37">
        <f>SUM(C43:N43)/6</f>
        <v>59.028033073620612</v>
      </c>
    </row>
    <row r="44" spans="1:16" x14ac:dyDescent="0.25">
      <c r="A44" s="19"/>
      <c r="B44" s="13"/>
      <c r="C44" s="26"/>
      <c r="D44" s="26"/>
      <c r="E44" s="27"/>
      <c r="F44" s="27"/>
      <c r="G44" s="27"/>
      <c r="H44" s="27"/>
      <c r="O44" s="39"/>
    </row>
    <row r="45" spans="1:16" x14ac:dyDescent="0.25">
      <c r="A45" s="16" t="s">
        <v>48</v>
      </c>
      <c r="B45" s="17" t="s">
        <v>49</v>
      </c>
      <c r="C45" s="28">
        <f>+C9</f>
        <v>18818.830000000002</v>
      </c>
      <c r="D45" s="28">
        <f>+D9</f>
        <v>13133.7</v>
      </c>
      <c r="E45" s="28">
        <f t="shared" ref="E45:H45" si="25">+E9</f>
        <v>14017.41</v>
      </c>
      <c r="F45" s="28">
        <f t="shared" si="25"/>
        <v>24932.99</v>
      </c>
      <c r="G45" s="28">
        <f t="shared" si="25"/>
        <v>23077.26</v>
      </c>
      <c r="H45" s="28">
        <f t="shared" si="25"/>
        <v>8487.6299999999992</v>
      </c>
      <c r="I45" s="28"/>
      <c r="J45" s="28"/>
      <c r="K45" s="28"/>
      <c r="L45" s="28"/>
      <c r="M45" s="28"/>
      <c r="N45" s="28"/>
      <c r="O45" s="92">
        <f>SUM(C45:N45)</f>
        <v>102467.82</v>
      </c>
    </row>
    <row r="46" spans="1:16" x14ac:dyDescent="0.25">
      <c r="A46" s="16" t="s">
        <v>50</v>
      </c>
      <c r="B46" s="17" t="s">
        <v>49</v>
      </c>
      <c r="C46" s="28">
        <f>+C13</f>
        <v>0</v>
      </c>
      <c r="D46" s="28">
        <f>+D13</f>
        <v>0</v>
      </c>
      <c r="E46" s="28">
        <f t="shared" ref="E46:H46" si="26">+E13</f>
        <v>0</v>
      </c>
      <c r="F46" s="28">
        <f t="shared" si="26"/>
        <v>0</v>
      </c>
      <c r="G46" s="28">
        <f t="shared" si="26"/>
        <v>0</v>
      </c>
      <c r="H46" s="28">
        <f t="shared" si="26"/>
        <v>0</v>
      </c>
      <c r="I46" s="28"/>
      <c r="J46" s="28"/>
      <c r="K46" s="28"/>
      <c r="L46" s="28"/>
      <c r="M46" s="28"/>
      <c r="N46" s="28"/>
      <c r="O46" s="92">
        <f t="shared" ref="O46:O47" si="27">SUM(C46:N46)</f>
        <v>0</v>
      </c>
    </row>
    <row r="47" spans="1:16" x14ac:dyDescent="0.25">
      <c r="A47" s="16" t="s">
        <v>51</v>
      </c>
      <c r="B47" s="17" t="s">
        <v>49</v>
      </c>
      <c r="C47" s="28">
        <f>+C34</f>
        <v>2716.62</v>
      </c>
      <c r="D47" s="28">
        <f>+D34</f>
        <v>3118.15</v>
      </c>
      <c r="E47" s="28">
        <f t="shared" ref="E47:H47" si="28">+E34</f>
        <v>3233.25</v>
      </c>
      <c r="F47" s="28">
        <f t="shared" si="28"/>
        <v>2800.69</v>
      </c>
      <c r="G47" s="28">
        <f t="shared" si="28"/>
        <v>14436.029999999999</v>
      </c>
      <c r="H47" s="28">
        <f t="shared" si="28"/>
        <v>9493.98</v>
      </c>
      <c r="I47" s="28"/>
      <c r="J47" s="28"/>
      <c r="K47" s="28"/>
      <c r="L47" s="28"/>
      <c r="M47" s="28"/>
      <c r="N47" s="28"/>
      <c r="O47" s="92">
        <f t="shared" si="27"/>
        <v>35798.720000000001</v>
      </c>
    </row>
    <row r="48" spans="1:16" x14ac:dyDescent="0.25">
      <c r="A48" s="19" t="s">
        <v>48</v>
      </c>
      <c r="B48" s="20" t="s">
        <v>47</v>
      </c>
      <c r="C48" s="29">
        <f>+C45/C39</f>
        <v>43.62</v>
      </c>
      <c r="D48" s="29">
        <f>+D45/D39</f>
        <v>58.09</v>
      </c>
      <c r="E48" s="29">
        <f t="shared" ref="E48:H48" si="29">+E45/E39</f>
        <v>62.881221179837809</v>
      </c>
      <c r="F48" s="29">
        <f t="shared" si="29"/>
        <v>68.616632214978537</v>
      </c>
      <c r="G48" s="29">
        <f t="shared" si="29"/>
        <v>68.470345046907298</v>
      </c>
      <c r="H48" s="29">
        <f t="shared" si="29"/>
        <v>52.489999999999995</v>
      </c>
      <c r="I48" s="29"/>
      <c r="J48" s="29"/>
      <c r="K48" s="29"/>
      <c r="L48" s="29"/>
      <c r="M48" s="29"/>
      <c r="N48" s="29"/>
      <c r="O48" s="85">
        <f>SUM(C48:N48)/6</f>
        <v>59.028033073620612</v>
      </c>
    </row>
    <row r="49" spans="1:15" x14ac:dyDescent="0.25">
      <c r="A49" s="16" t="s">
        <v>50</v>
      </c>
      <c r="B49" s="17" t="s">
        <v>47</v>
      </c>
      <c r="C49" s="30">
        <f>+C46/C39</f>
        <v>0</v>
      </c>
      <c r="D49" s="30">
        <f>+D46/D39</f>
        <v>0</v>
      </c>
      <c r="E49" s="30">
        <f t="shared" ref="E49:H49" si="30">+E46/E39</f>
        <v>0</v>
      </c>
      <c r="F49" s="30">
        <f t="shared" si="30"/>
        <v>0</v>
      </c>
      <c r="G49" s="30">
        <f t="shared" si="30"/>
        <v>0</v>
      </c>
      <c r="H49" s="30">
        <f t="shared" si="30"/>
        <v>0</v>
      </c>
      <c r="I49" s="30"/>
      <c r="J49" s="30"/>
      <c r="K49" s="30"/>
      <c r="L49" s="30"/>
      <c r="M49" s="30"/>
      <c r="N49" s="30"/>
      <c r="O49" s="44">
        <f>SUM(C49:N49)/6</f>
        <v>0</v>
      </c>
    </row>
    <row r="50" spans="1:15" x14ac:dyDescent="0.25">
      <c r="A50" s="16" t="s">
        <v>51</v>
      </c>
      <c r="B50" s="17" t="s">
        <v>47</v>
      </c>
      <c r="C50" s="30">
        <f>+C47/C39</f>
        <v>6.2968295265964986</v>
      </c>
      <c r="D50" s="30">
        <f>+D47/D39</f>
        <v>13.791493143592438</v>
      </c>
      <c r="E50" s="30">
        <f t="shared" ref="E50:H50" si="31">+E47/E39</f>
        <v>14.50415650107335</v>
      </c>
      <c r="F50" s="30">
        <f t="shared" si="31"/>
        <v>7.7076161213784724</v>
      </c>
      <c r="G50" s="30">
        <f t="shared" si="31"/>
        <v>42.831772715110247</v>
      </c>
      <c r="H50" s="30">
        <f t="shared" si="31"/>
        <v>58.71356435188622</v>
      </c>
      <c r="I50" s="30"/>
      <c r="J50" s="30"/>
      <c r="K50" s="30"/>
      <c r="L50" s="30"/>
      <c r="M50" s="30"/>
      <c r="N50" s="30"/>
      <c r="O50" s="44">
        <f>SUM(C50:N50)/6</f>
        <v>23.974238726606202</v>
      </c>
    </row>
    <row r="51" spans="1:15" x14ac:dyDescent="0.25">
      <c r="A51" s="19" t="s">
        <v>52</v>
      </c>
      <c r="B51" s="20" t="s">
        <v>47</v>
      </c>
      <c r="C51" s="29">
        <f>+C48-C49-C50</f>
        <v>37.323170473403501</v>
      </c>
      <c r="D51" s="29">
        <f>+D48-D49-D50</f>
        <v>44.298506856407563</v>
      </c>
      <c r="E51" s="29">
        <f t="shared" ref="E51:H51" si="32">+E48-E49-E50</f>
        <v>48.377064678764455</v>
      </c>
      <c r="F51" s="29">
        <f t="shared" si="32"/>
        <v>60.909016093600066</v>
      </c>
      <c r="G51" s="29">
        <f t="shared" si="32"/>
        <v>25.63857233179705</v>
      </c>
      <c r="H51" s="29">
        <f t="shared" si="32"/>
        <v>-6.2235643518862247</v>
      </c>
      <c r="I51" s="29"/>
      <c r="J51" s="29"/>
      <c r="K51" s="29"/>
      <c r="L51" s="29"/>
      <c r="M51" s="29"/>
      <c r="N51" s="29"/>
      <c r="O51" s="85">
        <f>SUM(C51:N51)/6</f>
        <v>35.053794347014396</v>
      </c>
    </row>
    <row r="52" spans="1:15" x14ac:dyDescent="0.25">
      <c r="A52" s="19" t="s">
        <v>53</v>
      </c>
      <c r="B52" s="31" t="s">
        <v>54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/>
      <c r="J52" s="29"/>
      <c r="K52" s="29"/>
      <c r="L52" s="29"/>
      <c r="M52" s="29"/>
      <c r="N52" s="29"/>
      <c r="O52" s="85">
        <f>SUM(C52:N52)/6</f>
        <v>0</v>
      </c>
    </row>
    <row r="53" spans="1:15" x14ac:dyDescent="0.25">
      <c r="A53" s="16" t="s">
        <v>55</v>
      </c>
      <c r="B53" s="32" t="s">
        <v>54</v>
      </c>
      <c r="C53" s="30">
        <v>0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/>
      <c r="J53" s="30"/>
      <c r="K53" s="30"/>
      <c r="L53" s="30"/>
      <c r="M53" s="30"/>
      <c r="N53" s="30"/>
      <c r="O53" s="43">
        <f>SUM(C53:N53)/6</f>
        <v>0</v>
      </c>
    </row>
    <row r="54" spans="1:15" x14ac:dyDescent="0.25">
      <c r="A54" s="19" t="s">
        <v>56</v>
      </c>
      <c r="B54" s="31" t="s">
        <v>54</v>
      </c>
      <c r="C54" s="29">
        <f>+C46/C45*100</f>
        <v>0</v>
      </c>
      <c r="D54" s="29">
        <f>+D46/D45*100</f>
        <v>0</v>
      </c>
      <c r="E54" s="29">
        <f t="shared" ref="E54:H54" si="33">+E46/E45*100</f>
        <v>0</v>
      </c>
      <c r="F54" s="29">
        <f t="shared" si="33"/>
        <v>0</v>
      </c>
      <c r="G54" s="29">
        <f t="shared" si="33"/>
        <v>0</v>
      </c>
      <c r="H54" s="29">
        <f t="shared" si="33"/>
        <v>0</v>
      </c>
      <c r="I54" s="29"/>
      <c r="J54" s="29"/>
      <c r="K54" s="29"/>
      <c r="L54" s="29"/>
      <c r="M54" s="29"/>
      <c r="N54" s="29"/>
      <c r="O54" s="85">
        <f>SUM(C54:N54)/6</f>
        <v>0</v>
      </c>
    </row>
    <row r="55" spans="1:15" x14ac:dyDescent="0.25">
      <c r="A55" s="16" t="s">
        <v>57</v>
      </c>
      <c r="B55" s="32" t="s">
        <v>54</v>
      </c>
      <c r="C55" s="30">
        <f>C47/C45*100</f>
        <v>14.435647699671019</v>
      </c>
      <c r="D55" s="30">
        <f>D47/D45*100</f>
        <v>23.741596046810876</v>
      </c>
      <c r="E55" s="30">
        <f t="shared" ref="E55:H55" si="34">E47/E45*100</f>
        <v>23.065958689943436</v>
      </c>
      <c r="F55" s="30">
        <f t="shared" si="34"/>
        <v>11.232868580944363</v>
      </c>
      <c r="G55" s="30">
        <f t="shared" si="34"/>
        <v>62.555216693836272</v>
      </c>
      <c r="H55" s="30">
        <f t="shared" si="34"/>
        <v>111.85666670201222</v>
      </c>
      <c r="I55" s="30"/>
      <c r="J55" s="30"/>
      <c r="K55" s="30"/>
      <c r="L55" s="30"/>
      <c r="M55" s="30"/>
      <c r="N55" s="30"/>
      <c r="O55" s="44">
        <f>SUM(C55:N55)/6</f>
        <v>41.147992402203023</v>
      </c>
    </row>
    <row r="56" spans="1:15" x14ac:dyDescent="0.25">
      <c r="A56" s="33" t="s">
        <v>58</v>
      </c>
      <c r="B56" s="34" t="s">
        <v>54</v>
      </c>
      <c r="C56" s="35">
        <f>C47/(C45+C46)*100</f>
        <v>14.435647699671019</v>
      </c>
      <c r="D56" s="35">
        <f>D47/(D45+D46)*100</f>
        <v>23.741596046810876</v>
      </c>
      <c r="E56" s="35">
        <f t="shared" ref="E56:H56" si="35">E47/(E45+E46)*100</f>
        <v>23.065958689943436</v>
      </c>
      <c r="F56" s="35">
        <f t="shared" si="35"/>
        <v>11.232868580944363</v>
      </c>
      <c r="G56" s="35">
        <f t="shared" si="35"/>
        <v>62.555216693836272</v>
      </c>
      <c r="H56" s="35">
        <f t="shared" si="35"/>
        <v>111.85666670201222</v>
      </c>
      <c r="I56" s="35"/>
      <c r="J56" s="35"/>
      <c r="K56" s="35"/>
      <c r="L56" s="35"/>
      <c r="M56" s="35"/>
      <c r="N56" s="35"/>
      <c r="O56" s="43">
        <f>SUM(C56:N56)/6</f>
        <v>41.147992402203023</v>
      </c>
    </row>
  </sheetData>
  <mergeCells count="3">
    <mergeCell ref="A1:O1"/>
    <mergeCell ref="A2:O2"/>
    <mergeCell ref="A3:N3"/>
  </mergeCells>
  <pageMargins left="0.7" right="0.7" top="0.75" bottom="0.75" header="0.3" footer="0.3"/>
  <pageSetup scale="5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59"/>
  <sheetViews>
    <sheetView topLeftCell="F39" zoomScaleNormal="100" workbookViewId="0">
      <selection activeCell="O60" sqref="O60"/>
    </sheetView>
  </sheetViews>
  <sheetFormatPr defaultRowHeight="15" x14ac:dyDescent="0.25"/>
  <cols>
    <col min="1" max="1" width="30.140625" customWidth="1"/>
    <col min="2" max="2" width="10" customWidth="1"/>
    <col min="3" max="15" width="17.140625" customWidth="1"/>
  </cols>
  <sheetData>
    <row r="1" spans="1:15" ht="18" x14ac:dyDescent="0.25">
      <c r="A1" s="114" t="s">
        <v>0</v>
      </c>
      <c r="B1" s="114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1:15" ht="18" x14ac:dyDescent="0.25">
      <c r="A2" s="114" t="s">
        <v>75</v>
      </c>
      <c r="B2" s="114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spans="1:15" x14ac:dyDescent="0.25">
      <c r="A3" s="116" t="str">
        <f>+'100 5-30-9-7 '!A3:N3</f>
        <v xml:space="preserve">January 2019 - 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</row>
    <row r="4" spans="1:15" x14ac:dyDescent="0.25">
      <c r="N4" s="99"/>
    </row>
    <row r="5" spans="1:15" x14ac:dyDescent="0.25">
      <c r="A5" s="1"/>
      <c r="C5" s="109">
        <v>43466</v>
      </c>
      <c r="D5" s="109">
        <v>43514</v>
      </c>
      <c r="E5" s="109">
        <v>43542</v>
      </c>
      <c r="F5" s="109">
        <v>43573</v>
      </c>
      <c r="G5" s="109">
        <v>43603</v>
      </c>
      <c r="H5" s="109">
        <v>43634</v>
      </c>
      <c r="I5" s="109">
        <v>43664</v>
      </c>
      <c r="J5" s="109">
        <v>43695</v>
      </c>
      <c r="K5" s="109">
        <v>43726</v>
      </c>
      <c r="L5" s="109">
        <v>43756</v>
      </c>
      <c r="M5" s="109">
        <v>43787</v>
      </c>
      <c r="N5" s="109">
        <v>43817</v>
      </c>
      <c r="O5" s="2" t="s">
        <v>2</v>
      </c>
    </row>
    <row r="6" spans="1:15" x14ac:dyDescent="0.25">
      <c r="A6" s="3" t="s">
        <v>3</v>
      </c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x14ac:dyDescent="0.25">
      <c r="A7" s="3" t="s">
        <v>21</v>
      </c>
      <c r="B7" s="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6"/>
    </row>
    <row r="8" spans="1:15" x14ac:dyDescent="0.25">
      <c r="A8" s="3" t="s">
        <v>22</v>
      </c>
      <c r="B8" s="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6"/>
    </row>
    <row r="9" spans="1:15" x14ac:dyDescent="0.25">
      <c r="A9" s="3" t="s">
        <v>23</v>
      </c>
      <c r="B9" s="3"/>
      <c r="C9" s="6">
        <v>27099.040000000001</v>
      </c>
      <c r="D9" s="6">
        <v>24584.71</v>
      </c>
      <c r="E9" s="6">
        <v>25881.200000000001</v>
      </c>
      <c r="F9" s="6">
        <v>28475.88</v>
      </c>
      <c r="G9" s="6">
        <v>33552.019999999997</v>
      </c>
      <c r="H9" s="6">
        <v>18518.34</v>
      </c>
      <c r="I9" s="79"/>
      <c r="J9" s="79"/>
      <c r="K9" s="79"/>
      <c r="L9" s="79"/>
      <c r="M9" s="79"/>
      <c r="N9" s="79"/>
      <c r="O9" s="6">
        <f>SUM(C9:N9)</f>
        <v>158111.19</v>
      </c>
    </row>
    <row r="10" spans="1:15" x14ac:dyDescent="0.25">
      <c r="A10" s="3" t="s">
        <v>24</v>
      </c>
      <c r="B10" s="3"/>
      <c r="C10" s="5">
        <f t="shared" ref="C10:J10" si="0">(C8)+(C9)</f>
        <v>27099.040000000001</v>
      </c>
      <c r="D10" s="5">
        <f t="shared" si="0"/>
        <v>24584.71</v>
      </c>
      <c r="E10" s="5">
        <f t="shared" si="0"/>
        <v>25881.200000000001</v>
      </c>
      <c r="F10" s="5">
        <f t="shared" si="0"/>
        <v>28475.88</v>
      </c>
      <c r="G10" s="5">
        <f t="shared" si="0"/>
        <v>33552.019999999997</v>
      </c>
      <c r="H10" s="5">
        <f t="shared" si="0"/>
        <v>18518.34</v>
      </c>
      <c r="I10" s="82">
        <f t="shared" si="0"/>
        <v>0</v>
      </c>
      <c r="J10" s="82">
        <f t="shared" si="0"/>
        <v>0</v>
      </c>
      <c r="K10" s="82">
        <f t="shared" ref="K10:L10" si="1">(K8)+(K9)</f>
        <v>0</v>
      </c>
      <c r="L10" s="82">
        <f t="shared" si="1"/>
        <v>0</v>
      </c>
      <c r="M10" s="82">
        <f t="shared" ref="M10:N10" si="2">(M8)+(M9)</f>
        <v>0</v>
      </c>
      <c r="N10" s="82">
        <f t="shared" si="2"/>
        <v>0</v>
      </c>
      <c r="O10" s="96">
        <f t="shared" ref="O10:O39" si="3">SUM(C10:N10)</f>
        <v>158111.19</v>
      </c>
    </row>
    <row r="11" spans="1:15" x14ac:dyDescent="0.25">
      <c r="A11" s="3" t="s">
        <v>25</v>
      </c>
      <c r="B11" s="3"/>
      <c r="C11" s="5">
        <f t="shared" ref="C11:J11" si="4">(C7)+(C10)</f>
        <v>27099.040000000001</v>
      </c>
      <c r="D11" s="5">
        <f t="shared" si="4"/>
        <v>24584.71</v>
      </c>
      <c r="E11" s="5">
        <f t="shared" si="4"/>
        <v>25881.200000000001</v>
      </c>
      <c r="F11" s="5">
        <f t="shared" si="4"/>
        <v>28475.88</v>
      </c>
      <c r="G11" s="5">
        <f t="shared" si="4"/>
        <v>33552.019999999997</v>
      </c>
      <c r="H11" s="5">
        <f t="shared" si="4"/>
        <v>18518.34</v>
      </c>
      <c r="I11" s="82">
        <f t="shared" si="4"/>
        <v>0</v>
      </c>
      <c r="J11" s="82">
        <f t="shared" si="4"/>
        <v>0</v>
      </c>
      <c r="K11" s="82">
        <f t="shared" ref="K11:L11" si="5">(K7)+(K10)</f>
        <v>0</v>
      </c>
      <c r="L11" s="82">
        <f t="shared" si="5"/>
        <v>0</v>
      </c>
      <c r="M11" s="82">
        <f t="shared" ref="M11:N11" si="6">(M7)+(M10)</f>
        <v>0</v>
      </c>
      <c r="N11" s="82">
        <f t="shared" si="6"/>
        <v>0</v>
      </c>
      <c r="O11" s="97">
        <f t="shared" si="3"/>
        <v>158111.19</v>
      </c>
    </row>
    <row r="12" spans="1:15" x14ac:dyDescent="0.25">
      <c r="A12" s="3" t="s">
        <v>26</v>
      </c>
      <c r="B12" s="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6"/>
    </row>
    <row r="13" spans="1:15" x14ac:dyDescent="0.25">
      <c r="A13" s="3" t="s">
        <v>34</v>
      </c>
      <c r="B13" s="3"/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f t="shared" si="3"/>
        <v>0</v>
      </c>
    </row>
    <row r="14" spans="1:15" x14ac:dyDescent="0.25">
      <c r="A14" s="3" t="s">
        <v>27</v>
      </c>
      <c r="B14" s="3"/>
      <c r="C14" s="5">
        <f t="shared" ref="C14:H14" si="7">(C12)+(C13)</f>
        <v>0</v>
      </c>
      <c r="D14" s="5">
        <f t="shared" si="7"/>
        <v>0</v>
      </c>
      <c r="E14" s="5">
        <f t="shared" si="7"/>
        <v>0</v>
      </c>
      <c r="F14" s="5">
        <f t="shared" si="7"/>
        <v>0</v>
      </c>
      <c r="G14" s="5">
        <f t="shared" si="7"/>
        <v>0</v>
      </c>
      <c r="H14" s="5">
        <f t="shared" si="7"/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96">
        <f t="shared" si="3"/>
        <v>0</v>
      </c>
    </row>
    <row r="15" spans="1:15" x14ac:dyDescent="0.25">
      <c r="A15" s="3" t="s">
        <v>4</v>
      </c>
      <c r="B15" s="3"/>
      <c r="C15" s="5">
        <f t="shared" ref="C15:H15" si="8">(C11)+(C14)</f>
        <v>27099.040000000001</v>
      </c>
      <c r="D15" s="5">
        <f t="shared" si="8"/>
        <v>24584.71</v>
      </c>
      <c r="E15" s="5">
        <f t="shared" si="8"/>
        <v>25881.200000000001</v>
      </c>
      <c r="F15" s="5">
        <f t="shared" si="8"/>
        <v>28475.88</v>
      </c>
      <c r="G15" s="5">
        <f t="shared" si="8"/>
        <v>33552.019999999997</v>
      </c>
      <c r="H15" s="5">
        <f t="shared" si="8"/>
        <v>18518.34</v>
      </c>
      <c r="I15" s="5">
        <f t="shared" ref="I15:J15" si="9">(I11)+(I14)</f>
        <v>0</v>
      </c>
      <c r="J15" s="5">
        <f t="shared" si="9"/>
        <v>0</v>
      </c>
      <c r="K15" s="5">
        <f t="shared" ref="K15:L15" si="10">(K11)+(K14)</f>
        <v>0</v>
      </c>
      <c r="L15" s="5">
        <f t="shared" si="10"/>
        <v>0</v>
      </c>
      <c r="M15" s="5">
        <f t="shared" ref="M15:N15" si="11">(M11)+(M14)</f>
        <v>0</v>
      </c>
      <c r="N15" s="5">
        <f t="shared" si="11"/>
        <v>0</v>
      </c>
      <c r="O15" s="96">
        <f t="shared" si="3"/>
        <v>158111.19</v>
      </c>
    </row>
    <row r="16" spans="1:15" x14ac:dyDescent="0.25">
      <c r="A16" s="3" t="s">
        <v>5</v>
      </c>
      <c r="B16" s="3"/>
      <c r="C16" s="5">
        <f t="shared" ref="C16:H16" si="12">(C15)-(0)</f>
        <v>27099.040000000001</v>
      </c>
      <c r="D16" s="5">
        <f t="shared" si="12"/>
        <v>24584.71</v>
      </c>
      <c r="E16" s="5">
        <f t="shared" si="12"/>
        <v>25881.200000000001</v>
      </c>
      <c r="F16" s="5">
        <f t="shared" si="12"/>
        <v>28475.88</v>
      </c>
      <c r="G16" s="5">
        <f t="shared" si="12"/>
        <v>33552.019999999997</v>
      </c>
      <c r="H16" s="5">
        <f t="shared" si="12"/>
        <v>18518.34</v>
      </c>
      <c r="I16" s="5">
        <f t="shared" ref="I16:J16" si="13">(I15)-(0)</f>
        <v>0</v>
      </c>
      <c r="J16" s="5">
        <f t="shared" si="13"/>
        <v>0</v>
      </c>
      <c r="K16" s="5">
        <f t="shared" ref="K16:L16" si="14">(K15)-(0)</f>
        <v>0</v>
      </c>
      <c r="L16" s="5">
        <f t="shared" si="14"/>
        <v>0</v>
      </c>
      <c r="M16" s="5">
        <f t="shared" ref="M16:N16" si="15">(M15)-(0)</f>
        <v>0</v>
      </c>
      <c r="N16" s="5">
        <f t="shared" si="15"/>
        <v>0</v>
      </c>
      <c r="O16" s="97">
        <f t="shared" si="3"/>
        <v>158111.19</v>
      </c>
    </row>
    <row r="17" spans="1:15" x14ac:dyDescent="0.25">
      <c r="A17" s="3" t="s">
        <v>6</v>
      </c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6"/>
    </row>
    <row r="18" spans="1:15" x14ac:dyDescent="0.25">
      <c r="A18" s="3" t="s">
        <v>7</v>
      </c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6"/>
    </row>
    <row r="19" spans="1:15" x14ac:dyDescent="0.25">
      <c r="A19" s="3" t="s">
        <v>28</v>
      </c>
      <c r="B19" s="3"/>
      <c r="C19" s="6">
        <v>835.51</v>
      </c>
      <c r="D19" s="6">
        <v>2506.56</v>
      </c>
      <c r="E19" s="4">
        <v>927.24300000000005</v>
      </c>
      <c r="F19" s="6">
        <v>835.53</v>
      </c>
      <c r="G19" s="4">
        <v>835.51</v>
      </c>
      <c r="H19" s="6">
        <v>1671.03</v>
      </c>
      <c r="I19" s="6"/>
      <c r="J19" s="6"/>
      <c r="K19" s="6"/>
      <c r="L19" s="6"/>
      <c r="M19" s="6"/>
      <c r="N19" s="6"/>
      <c r="O19" s="6">
        <f t="shared" si="3"/>
        <v>7611.3829999999998</v>
      </c>
    </row>
    <row r="20" spans="1:15" x14ac:dyDescent="0.25">
      <c r="A20" s="3" t="s">
        <v>17</v>
      </c>
      <c r="B20" s="3"/>
      <c r="C20" s="6">
        <v>1366.36</v>
      </c>
      <c r="D20" s="6">
        <v>1003.65</v>
      </c>
      <c r="E20" s="6">
        <v>1291.4000000000001</v>
      </c>
      <c r="F20" s="6">
        <v>1186.3499999999999</v>
      </c>
      <c r="G20" s="6">
        <v>1155</v>
      </c>
      <c r="H20" s="6">
        <v>2436.84</v>
      </c>
      <c r="I20" s="79"/>
      <c r="J20" s="79"/>
      <c r="K20" s="79"/>
      <c r="L20" s="79"/>
      <c r="M20" s="79"/>
      <c r="N20" s="79"/>
      <c r="O20" s="6">
        <f t="shared" si="3"/>
        <v>8439.6</v>
      </c>
    </row>
    <row r="21" spans="1:15" x14ac:dyDescent="0.25">
      <c r="A21" s="3" t="s">
        <v>76</v>
      </c>
      <c r="B21" s="3"/>
      <c r="C21" s="6"/>
      <c r="D21" s="6"/>
      <c r="E21" s="6"/>
      <c r="F21" s="6"/>
      <c r="G21" s="6"/>
      <c r="H21" s="6"/>
      <c r="I21" s="79"/>
      <c r="J21" s="79"/>
      <c r="K21" s="79"/>
      <c r="L21" s="79"/>
      <c r="M21" s="79"/>
      <c r="N21" s="79"/>
      <c r="O21" s="6">
        <f t="shared" si="3"/>
        <v>0</v>
      </c>
    </row>
    <row r="22" spans="1:15" x14ac:dyDescent="0.25">
      <c r="A22" s="3" t="s">
        <v>8</v>
      </c>
      <c r="B22" s="3"/>
      <c r="C22" s="6">
        <v>1736.79</v>
      </c>
      <c r="D22" s="6">
        <v>2928.69</v>
      </c>
      <c r="E22" s="6">
        <v>2075.73</v>
      </c>
      <c r="F22" s="6">
        <v>1683.63</v>
      </c>
      <c r="G22" s="6">
        <v>2188.65</v>
      </c>
      <c r="H22" s="6">
        <v>1598.85</v>
      </c>
      <c r="I22" s="79"/>
      <c r="J22" s="79"/>
      <c r="K22" s="79"/>
      <c r="L22" s="79"/>
      <c r="M22" s="79"/>
      <c r="N22" s="79"/>
      <c r="O22" s="6">
        <f t="shared" si="3"/>
        <v>12212.34</v>
      </c>
    </row>
    <row r="23" spans="1:15" s="111" customFormat="1" x14ac:dyDescent="0.25">
      <c r="A23" s="3" t="s">
        <v>36</v>
      </c>
      <c r="B23" s="3"/>
      <c r="C23" s="6"/>
      <c r="D23" s="6"/>
      <c r="E23" s="6"/>
      <c r="F23" s="6">
        <v>442.5</v>
      </c>
      <c r="G23" s="6"/>
      <c r="H23" s="6"/>
      <c r="I23" s="79"/>
      <c r="J23" s="79"/>
      <c r="K23" s="79"/>
      <c r="L23" s="79"/>
      <c r="M23" s="79"/>
      <c r="N23" s="79"/>
      <c r="O23" s="6">
        <f t="shared" si="3"/>
        <v>442.5</v>
      </c>
    </row>
    <row r="24" spans="1:15" x14ac:dyDescent="0.25">
      <c r="A24" s="3" t="s">
        <v>70</v>
      </c>
      <c r="B24" s="3"/>
      <c r="C24" s="6"/>
      <c r="D24" s="6"/>
      <c r="E24" s="6"/>
      <c r="F24" s="6"/>
      <c r="G24" s="6">
        <v>1907.88</v>
      </c>
      <c r="H24" s="6"/>
      <c r="I24" s="79"/>
      <c r="J24" s="79"/>
      <c r="K24" s="79"/>
      <c r="L24" s="79"/>
      <c r="M24" s="79"/>
      <c r="N24" s="79"/>
      <c r="O24" s="6">
        <f t="shared" si="3"/>
        <v>1907.88</v>
      </c>
    </row>
    <row r="25" spans="1:15" x14ac:dyDescent="0.25">
      <c r="A25" s="83" t="s">
        <v>9</v>
      </c>
      <c r="B25" s="3"/>
      <c r="C25" s="4"/>
      <c r="D25" s="4"/>
      <c r="E25" s="4"/>
      <c r="F25" s="4"/>
      <c r="G25" s="4"/>
      <c r="H25" s="4"/>
      <c r="I25" s="4"/>
      <c r="J25" s="4"/>
      <c r="K25" s="79"/>
      <c r="L25" s="78"/>
      <c r="M25" s="78"/>
      <c r="N25" s="78"/>
      <c r="O25" s="6">
        <f t="shared" si="3"/>
        <v>0</v>
      </c>
    </row>
    <row r="26" spans="1:15" x14ac:dyDescent="0.25">
      <c r="A26" s="83" t="s">
        <v>60</v>
      </c>
      <c r="B26" s="3"/>
      <c r="C26" s="4"/>
      <c r="D26" s="4"/>
      <c r="E26" s="4"/>
      <c r="F26" s="4"/>
      <c r="G26" s="4"/>
      <c r="H26" s="4"/>
      <c r="I26" s="4"/>
      <c r="J26" s="79"/>
      <c r="K26" s="79"/>
      <c r="L26" s="79"/>
      <c r="M26" s="79"/>
      <c r="N26" s="79"/>
      <c r="O26" s="6">
        <f t="shared" si="3"/>
        <v>0</v>
      </c>
    </row>
    <row r="27" spans="1:15" x14ac:dyDescent="0.25">
      <c r="A27" s="3" t="s">
        <v>11</v>
      </c>
      <c r="B27" s="3"/>
      <c r="C27" s="6"/>
      <c r="D27" s="4"/>
      <c r="E27" s="4">
        <v>4600</v>
      </c>
      <c r="F27" s="4"/>
      <c r="G27" s="4"/>
      <c r="H27" s="6">
        <v>3970</v>
      </c>
      <c r="I27" s="6"/>
      <c r="J27" s="6"/>
      <c r="K27" s="6"/>
      <c r="L27" s="6"/>
      <c r="M27" s="6"/>
      <c r="N27" s="6"/>
      <c r="O27" s="6">
        <f t="shared" si="3"/>
        <v>8570</v>
      </c>
    </row>
    <row r="28" spans="1:15" x14ac:dyDescent="0.25">
      <c r="A28" s="3" t="s">
        <v>12</v>
      </c>
      <c r="B28" s="3"/>
      <c r="C28" s="5">
        <f>SUM(C26:C27)</f>
        <v>0</v>
      </c>
      <c r="D28" s="5">
        <f t="shared" ref="D28:N28" si="16">SUM(D26:D27)</f>
        <v>0</v>
      </c>
      <c r="E28" s="5">
        <f t="shared" si="16"/>
        <v>4600</v>
      </c>
      <c r="F28" s="5">
        <f t="shared" si="16"/>
        <v>0</v>
      </c>
      <c r="G28" s="5">
        <f t="shared" si="16"/>
        <v>0</v>
      </c>
      <c r="H28" s="5">
        <f t="shared" si="16"/>
        <v>3970</v>
      </c>
      <c r="I28" s="5">
        <f t="shared" si="16"/>
        <v>0</v>
      </c>
      <c r="J28" s="5">
        <f t="shared" si="16"/>
        <v>0</v>
      </c>
      <c r="K28" s="5">
        <f t="shared" si="16"/>
        <v>0</v>
      </c>
      <c r="L28" s="5">
        <f t="shared" si="16"/>
        <v>0</v>
      </c>
      <c r="M28" s="5">
        <f t="shared" si="16"/>
        <v>0</v>
      </c>
      <c r="N28" s="5">
        <f t="shared" si="16"/>
        <v>0</v>
      </c>
      <c r="O28" s="97">
        <f t="shared" si="3"/>
        <v>8570</v>
      </c>
    </row>
    <row r="29" spans="1:15" x14ac:dyDescent="0.25">
      <c r="A29" s="3" t="s">
        <v>13</v>
      </c>
      <c r="B29" s="3"/>
      <c r="C29" s="6"/>
      <c r="D29" s="6"/>
      <c r="E29" s="6">
        <v>171.9</v>
      </c>
      <c r="F29" s="6"/>
      <c r="G29" s="4">
        <v>848.6</v>
      </c>
      <c r="H29" s="4"/>
      <c r="I29" s="4"/>
      <c r="J29" s="4"/>
      <c r="K29" s="4"/>
      <c r="L29" s="4"/>
      <c r="M29" s="4"/>
      <c r="N29" s="4"/>
      <c r="O29" s="6">
        <f t="shared" si="3"/>
        <v>1020.5</v>
      </c>
    </row>
    <row r="30" spans="1:15" x14ac:dyDescent="0.25">
      <c r="A30" s="3" t="s">
        <v>73</v>
      </c>
      <c r="B30" s="3"/>
      <c r="C30" s="6"/>
      <c r="D30" s="6"/>
      <c r="E30" s="6"/>
      <c r="F30" s="6"/>
      <c r="G30" s="4"/>
      <c r="H30" s="4"/>
      <c r="I30" s="4"/>
      <c r="J30" s="4"/>
      <c r="K30" s="4"/>
      <c r="L30" s="4"/>
      <c r="M30" s="4"/>
      <c r="N30" s="4"/>
      <c r="O30" s="6">
        <f t="shared" si="3"/>
        <v>0</v>
      </c>
    </row>
    <row r="31" spans="1:15" x14ac:dyDescent="0.25">
      <c r="A31" s="3" t="s">
        <v>29</v>
      </c>
      <c r="B31" s="3"/>
      <c r="C31" s="6"/>
      <c r="D31" s="6"/>
      <c r="E31" s="6">
        <v>3752.5</v>
      </c>
      <c r="F31" s="4">
        <v>427.5</v>
      </c>
      <c r="G31" s="6">
        <v>190</v>
      </c>
      <c r="H31" s="4">
        <v>997.5</v>
      </c>
      <c r="I31" s="4"/>
      <c r="J31" s="4"/>
      <c r="K31" s="4"/>
      <c r="L31" s="4"/>
      <c r="M31" s="4"/>
      <c r="N31" s="4"/>
      <c r="O31" s="6">
        <f t="shared" si="3"/>
        <v>5367.5</v>
      </c>
    </row>
    <row r="32" spans="1:15" x14ac:dyDescent="0.25">
      <c r="A32" s="3" t="s">
        <v>30</v>
      </c>
      <c r="B32" s="3"/>
      <c r="C32" s="4"/>
      <c r="D32" s="6"/>
      <c r="E32" s="4"/>
      <c r="F32" s="4"/>
      <c r="G32" s="6">
        <v>347.73</v>
      </c>
      <c r="H32" s="4"/>
      <c r="I32" s="4"/>
      <c r="J32" s="4"/>
      <c r="K32" s="4"/>
      <c r="L32" s="4"/>
      <c r="M32" s="4"/>
      <c r="N32" s="4"/>
      <c r="O32" s="6">
        <f t="shared" si="3"/>
        <v>347.73</v>
      </c>
    </row>
    <row r="33" spans="1:15" x14ac:dyDescent="0.25">
      <c r="A33" s="3" t="s">
        <v>18</v>
      </c>
      <c r="B33" s="3"/>
      <c r="C33" s="6"/>
      <c r="D33" s="6"/>
      <c r="E33" s="4">
        <v>339.63</v>
      </c>
      <c r="F33" s="6"/>
      <c r="G33" s="4"/>
      <c r="H33" s="4"/>
      <c r="I33" s="4"/>
      <c r="J33" s="4"/>
      <c r="K33" s="4"/>
      <c r="L33" s="4"/>
      <c r="M33" s="4"/>
      <c r="N33" s="4"/>
      <c r="O33" s="6">
        <f t="shared" si="3"/>
        <v>339.63</v>
      </c>
    </row>
    <row r="34" spans="1:15" x14ac:dyDescent="0.25">
      <c r="A34" s="3" t="s">
        <v>31</v>
      </c>
      <c r="B34" s="3"/>
      <c r="C34" s="6"/>
      <c r="D34" s="6"/>
      <c r="E34" s="4"/>
      <c r="F34" s="6"/>
      <c r="G34" s="4"/>
      <c r="H34" s="4"/>
      <c r="I34" s="4"/>
      <c r="J34" s="4"/>
      <c r="K34" s="79"/>
      <c r="L34" s="79"/>
      <c r="M34" s="79"/>
      <c r="N34" s="79"/>
      <c r="O34" s="6">
        <f t="shared" si="3"/>
        <v>0</v>
      </c>
    </row>
    <row r="35" spans="1:15" s="111" customFormat="1" x14ac:dyDescent="0.25">
      <c r="A35" s="3" t="s">
        <v>71</v>
      </c>
      <c r="B35" s="3"/>
      <c r="C35" s="6"/>
      <c r="D35" s="6"/>
      <c r="E35" s="4"/>
      <c r="F35" s="6">
        <v>1196.8499999999999</v>
      </c>
      <c r="G35" s="4"/>
      <c r="H35" s="4"/>
      <c r="I35" s="4"/>
      <c r="J35" s="4"/>
      <c r="K35" s="79"/>
      <c r="L35" s="79"/>
      <c r="M35" s="79"/>
      <c r="N35" s="79"/>
      <c r="O35" s="6">
        <f t="shared" si="3"/>
        <v>1196.8499999999999</v>
      </c>
    </row>
    <row r="36" spans="1:15" x14ac:dyDescent="0.25">
      <c r="A36" s="3" t="s">
        <v>32</v>
      </c>
      <c r="B36" s="3"/>
      <c r="C36" s="6">
        <v>3080.81</v>
      </c>
      <c r="D36" s="6">
        <v>3157.25</v>
      </c>
      <c r="E36" s="6">
        <v>3083.86</v>
      </c>
      <c r="F36" s="6">
        <v>2424.27</v>
      </c>
      <c r="G36" s="6">
        <v>4213.84</v>
      </c>
      <c r="H36" s="6">
        <f>5251.58+34.43+25.34</f>
        <v>5311.35</v>
      </c>
      <c r="I36" s="79"/>
      <c r="J36" s="79"/>
      <c r="K36" s="79"/>
      <c r="L36" s="79"/>
      <c r="M36" s="79"/>
      <c r="N36" s="79"/>
      <c r="O36" s="6">
        <f t="shared" si="3"/>
        <v>21271.38</v>
      </c>
    </row>
    <row r="37" spans="1:15" x14ac:dyDescent="0.25">
      <c r="A37" s="3" t="s">
        <v>14</v>
      </c>
      <c r="B37" s="3"/>
      <c r="C37" s="5">
        <f>+C19+C20+C22+C24+C28+C29+C30+C31+C32+C33+C34+C36+C23+C35</f>
        <v>7019.4699999999993</v>
      </c>
      <c r="D37" s="5">
        <f t="shared" ref="D37:N37" si="17">+D19+D20+D22+D24+D28+D29+D30+D31+D32+D33+D34+D36+D23+D35</f>
        <v>9596.15</v>
      </c>
      <c r="E37" s="5">
        <f t="shared" si="17"/>
        <v>16242.262999999999</v>
      </c>
      <c r="F37" s="5">
        <f t="shared" si="17"/>
        <v>8196.630000000001</v>
      </c>
      <c r="G37" s="5">
        <f t="shared" si="17"/>
        <v>11687.210000000001</v>
      </c>
      <c r="H37" s="5">
        <f t="shared" si="17"/>
        <v>15985.57</v>
      </c>
      <c r="I37" s="5">
        <f t="shared" si="17"/>
        <v>0</v>
      </c>
      <c r="J37" s="5">
        <f t="shared" si="17"/>
        <v>0</v>
      </c>
      <c r="K37" s="5">
        <f t="shared" si="17"/>
        <v>0</v>
      </c>
      <c r="L37" s="5">
        <f t="shared" si="17"/>
        <v>0</v>
      </c>
      <c r="M37" s="5">
        <f t="shared" si="17"/>
        <v>0</v>
      </c>
      <c r="N37" s="5">
        <f t="shared" si="17"/>
        <v>0</v>
      </c>
      <c r="O37" s="96">
        <f t="shared" si="3"/>
        <v>68727.293000000005</v>
      </c>
    </row>
    <row r="38" spans="1:15" x14ac:dyDescent="0.25">
      <c r="A38" s="3" t="s">
        <v>15</v>
      </c>
      <c r="B38" s="3"/>
      <c r="C38" s="5">
        <f t="shared" ref="C38:H38" si="18">C37</f>
        <v>7019.4699999999993</v>
      </c>
      <c r="D38" s="5">
        <f t="shared" ref="D38:N38" si="19">D37</f>
        <v>9596.15</v>
      </c>
      <c r="E38" s="5">
        <f t="shared" si="19"/>
        <v>16242.262999999999</v>
      </c>
      <c r="F38" s="5">
        <f t="shared" si="19"/>
        <v>8196.630000000001</v>
      </c>
      <c r="G38" s="5">
        <f t="shared" si="19"/>
        <v>11687.210000000001</v>
      </c>
      <c r="H38" s="5">
        <f t="shared" si="19"/>
        <v>15985.57</v>
      </c>
      <c r="I38" s="5">
        <f t="shared" si="19"/>
        <v>0</v>
      </c>
      <c r="J38" s="5">
        <f t="shared" si="19"/>
        <v>0</v>
      </c>
      <c r="K38" s="5">
        <f t="shared" si="19"/>
        <v>0</v>
      </c>
      <c r="L38" s="5">
        <f t="shared" si="19"/>
        <v>0</v>
      </c>
      <c r="M38" s="5">
        <f t="shared" si="19"/>
        <v>0</v>
      </c>
      <c r="N38" s="5">
        <f t="shared" si="19"/>
        <v>0</v>
      </c>
      <c r="O38" s="96">
        <f t="shared" si="3"/>
        <v>68727.293000000005</v>
      </c>
    </row>
    <row r="39" spans="1:15" x14ac:dyDescent="0.25">
      <c r="A39" s="3" t="s">
        <v>16</v>
      </c>
      <c r="B39" s="3"/>
      <c r="C39" s="5">
        <f t="shared" ref="C39:H39" si="20">(((C16)-(C38))+(0))-(0)</f>
        <v>20079.57</v>
      </c>
      <c r="D39" s="5">
        <f t="shared" ref="D39:N39" si="21">(((D16)-(D38))+(0))-(0)</f>
        <v>14988.56</v>
      </c>
      <c r="E39" s="5">
        <f t="shared" si="21"/>
        <v>9638.9370000000017</v>
      </c>
      <c r="F39" s="5">
        <f t="shared" si="21"/>
        <v>20279.25</v>
      </c>
      <c r="G39" s="5">
        <f t="shared" si="21"/>
        <v>21864.809999999998</v>
      </c>
      <c r="H39" s="5">
        <f t="shared" si="21"/>
        <v>2532.7700000000004</v>
      </c>
      <c r="I39" s="5">
        <f t="shared" si="21"/>
        <v>0</v>
      </c>
      <c r="J39" s="5">
        <f t="shared" si="21"/>
        <v>0</v>
      </c>
      <c r="K39" s="5">
        <f t="shared" si="21"/>
        <v>0</v>
      </c>
      <c r="L39" s="5">
        <f t="shared" si="21"/>
        <v>0</v>
      </c>
      <c r="M39" s="5">
        <f t="shared" si="21"/>
        <v>0</v>
      </c>
      <c r="N39" s="5">
        <f t="shared" si="21"/>
        <v>0</v>
      </c>
      <c r="O39" s="97">
        <f t="shared" si="3"/>
        <v>89383.896999999997</v>
      </c>
    </row>
    <row r="40" spans="1:15" x14ac:dyDescent="0.25">
      <c r="A40" s="3"/>
      <c r="B40" s="3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x14ac:dyDescent="0.25">
      <c r="A41" s="13" t="s">
        <v>43</v>
      </c>
      <c r="B41" s="13"/>
      <c r="C41" s="14"/>
      <c r="D41" s="14"/>
      <c r="E41" s="14"/>
      <c r="F41" s="14"/>
      <c r="G41" s="14"/>
      <c r="H41" s="15"/>
      <c r="I41" s="15"/>
      <c r="J41" s="15"/>
      <c r="K41" s="15"/>
      <c r="L41" s="15"/>
      <c r="M41" s="15"/>
      <c r="N41" s="15"/>
      <c r="O41" s="36"/>
    </row>
    <row r="42" spans="1:15" x14ac:dyDescent="0.25">
      <c r="A42" s="16" t="s">
        <v>44</v>
      </c>
      <c r="B42" s="17" t="s">
        <v>45</v>
      </c>
      <c r="C42" s="18">
        <f>C48/C46</f>
        <v>621.25263640531875</v>
      </c>
      <c r="D42" s="18">
        <f>D48/D46</f>
        <v>423.21759338956787</v>
      </c>
      <c r="E42" s="18">
        <f t="shared" ref="E42:H42" si="22">E48/E46</f>
        <v>411.58869873059223</v>
      </c>
      <c r="F42" s="18">
        <f t="shared" si="22"/>
        <v>414.99967399717286</v>
      </c>
      <c r="G42" s="18">
        <f t="shared" si="22"/>
        <v>490.02265107637999</v>
      </c>
      <c r="H42" s="18">
        <f t="shared" si="22"/>
        <v>352.79748523528292</v>
      </c>
      <c r="I42" s="18"/>
      <c r="J42" s="18"/>
      <c r="K42" s="18"/>
      <c r="L42" s="18"/>
      <c r="M42" s="18"/>
      <c r="N42" s="18"/>
      <c r="O42" s="37">
        <f>SUM(C42:N42)</f>
        <v>2713.8787388343144</v>
      </c>
    </row>
    <row r="43" spans="1:15" x14ac:dyDescent="0.25">
      <c r="A43" s="19"/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36"/>
    </row>
    <row r="44" spans="1:15" x14ac:dyDescent="0.25">
      <c r="A44" s="16" t="s">
        <v>59</v>
      </c>
      <c r="B44" s="17" t="s">
        <v>46</v>
      </c>
      <c r="C44" s="18">
        <f>0.119252873563218*24*6.289</f>
        <v>17.999551724137927</v>
      </c>
      <c r="D44" s="18">
        <f>73.5/672*24*6.289</f>
        <v>16.508624999999999</v>
      </c>
      <c r="E44" s="18">
        <v>15.7</v>
      </c>
      <c r="F44" s="18">
        <v>15.5</v>
      </c>
      <c r="G44" s="18">
        <f>0.125*24*6.289</f>
        <v>18.866999999999997</v>
      </c>
      <c r="H44" s="18">
        <f>0.112179487179487*24*6.289</f>
        <v>16.931923076923077</v>
      </c>
      <c r="I44" s="18"/>
      <c r="J44" s="18"/>
      <c r="K44" s="18"/>
      <c r="L44" s="18"/>
      <c r="M44" s="18"/>
      <c r="N44" s="18"/>
      <c r="O44" s="37">
        <f>SUM(C44:N44)/6</f>
        <v>16.917849966843502</v>
      </c>
    </row>
    <row r="45" spans="1:15" x14ac:dyDescent="0.25">
      <c r="A45" s="19"/>
      <c r="B45" s="13"/>
      <c r="C45" s="22"/>
      <c r="D45" s="22"/>
      <c r="E45" s="14"/>
      <c r="F45" s="14"/>
      <c r="G45" s="14"/>
      <c r="H45" s="14"/>
      <c r="I45" s="15"/>
      <c r="J45" s="15"/>
      <c r="K45" s="15"/>
      <c r="L45" s="15"/>
      <c r="M45" s="15"/>
      <c r="N45" s="15"/>
      <c r="O45" s="38"/>
    </row>
    <row r="46" spans="1:15" x14ac:dyDescent="0.25">
      <c r="A46" s="16" t="s">
        <v>44</v>
      </c>
      <c r="B46" s="17" t="s">
        <v>47</v>
      </c>
      <c r="C46" s="21">
        <f>+'102 8-35-9-8'!C43</f>
        <v>43.62</v>
      </c>
      <c r="D46" s="21">
        <f>+'102 8-35-9-8'!D43</f>
        <v>58.09</v>
      </c>
      <c r="E46" s="21">
        <f>+'102 8-35-9-8'!E43</f>
        <v>62.881221179837809</v>
      </c>
      <c r="F46" s="21">
        <f>+'102 8-35-9-8'!F43</f>
        <v>68.616632214978537</v>
      </c>
      <c r="G46" s="21">
        <f>+'102 8-35-9-8'!G43</f>
        <v>68.470345046907298</v>
      </c>
      <c r="H46" s="21">
        <f>+'102 8-35-9-8'!H43</f>
        <v>52.49</v>
      </c>
      <c r="I46" s="21"/>
      <c r="J46" s="21"/>
      <c r="K46" s="21"/>
      <c r="L46" s="21"/>
      <c r="M46" s="21"/>
      <c r="N46" s="21"/>
      <c r="O46" s="37">
        <f>SUM(C46:N46)/6</f>
        <v>59.028033073620612</v>
      </c>
    </row>
    <row r="47" spans="1:15" x14ac:dyDescent="0.25">
      <c r="A47" s="19"/>
      <c r="B47" s="13"/>
      <c r="C47" s="26"/>
      <c r="D47" s="26"/>
      <c r="E47" s="27"/>
      <c r="F47" s="27"/>
      <c r="G47" s="27"/>
      <c r="H47" s="27"/>
      <c r="O47" s="87"/>
    </row>
    <row r="48" spans="1:15" x14ac:dyDescent="0.25">
      <c r="A48" s="16" t="s">
        <v>48</v>
      </c>
      <c r="B48" s="17" t="s">
        <v>49</v>
      </c>
      <c r="C48" s="28">
        <f>+C9</f>
        <v>27099.040000000001</v>
      </c>
      <c r="D48" s="28">
        <f>+D9</f>
        <v>24584.71</v>
      </c>
      <c r="E48" s="28">
        <f t="shared" ref="E48:H48" si="23">+E9</f>
        <v>25881.200000000001</v>
      </c>
      <c r="F48" s="28">
        <f t="shared" si="23"/>
        <v>28475.88</v>
      </c>
      <c r="G48" s="28">
        <f t="shared" si="23"/>
        <v>33552.019999999997</v>
      </c>
      <c r="H48" s="28">
        <f t="shared" si="23"/>
        <v>18518.34</v>
      </c>
      <c r="I48" s="28"/>
      <c r="J48" s="28"/>
      <c r="K48" s="28"/>
      <c r="L48" s="28"/>
      <c r="M48" s="28"/>
      <c r="N48" s="28"/>
      <c r="O48" s="92">
        <f>SUM(C48:N48)</f>
        <v>158111.19</v>
      </c>
    </row>
    <row r="49" spans="1:15" x14ac:dyDescent="0.25">
      <c r="A49" s="16" t="s">
        <v>50</v>
      </c>
      <c r="B49" s="17" t="s">
        <v>49</v>
      </c>
      <c r="C49" s="28">
        <f>+C13</f>
        <v>0</v>
      </c>
      <c r="D49" s="28">
        <f>+D13</f>
        <v>0</v>
      </c>
      <c r="E49" s="28">
        <f t="shared" ref="E49:H49" si="24">+E13</f>
        <v>0</v>
      </c>
      <c r="F49" s="28">
        <f t="shared" si="24"/>
        <v>0</v>
      </c>
      <c r="G49" s="28">
        <f t="shared" si="24"/>
        <v>0</v>
      </c>
      <c r="H49" s="28">
        <f t="shared" si="24"/>
        <v>0</v>
      </c>
      <c r="I49" s="28"/>
      <c r="J49" s="28"/>
      <c r="K49" s="28"/>
      <c r="L49" s="28"/>
      <c r="M49" s="28"/>
      <c r="N49" s="28"/>
      <c r="O49" s="92">
        <f t="shared" ref="O49:O50" si="25">SUM(C49:N49)</f>
        <v>0</v>
      </c>
    </row>
    <row r="50" spans="1:15" x14ac:dyDescent="0.25">
      <c r="A50" s="16" t="s">
        <v>51</v>
      </c>
      <c r="B50" s="17" t="s">
        <v>49</v>
      </c>
      <c r="C50" s="28">
        <f>+C37</f>
        <v>7019.4699999999993</v>
      </c>
      <c r="D50" s="28">
        <f>+D37</f>
        <v>9596.15</v>
      </c>
      <c r="E50" s="28">
        <f t="shared" ref="E50:H50" si="26">+E37</f>
        <v>16242.262999999999</v>
      </c>
      <c r="F50" s="28">
        <f t="shared" si="26"/>
        <v>8196.630000000001</v>
      </c>
      <c r="G50" s="28">
        <f t="shared" si="26"/>
        <v>11687.210000000001</v>
      </c>
      <c r="H50" s="28">
        <f t="shared" si="26"/>
        <v>15985.57</v>
      </c>
      <c r="I50" s="28"/>
      <c r="J50" s="28"/>
      <c r="K50" s="28"/>
      <c r="L50" s="28"/>
      <c r="M50" s="28"/>
      <c r="N50" s="28"/>
      <c r="O50" s="92">
        <f t="shared" si="25"/>
        <v>68727.293000000005</v>
      </c>
    </row>
    <row r="51" spans="1:15" x14ac:dyDescent="0.25">
      <c r="A51" s="19" t="s">
        <v>48</v>
      </c>
      <c r="B51" s="20" t="s">
        <v>47</v>
      </c>
      <c r="C51" s="29">
        <f>+C48/C42</f>
        <v>43.62</v>
      </c>
      <c r="D51" s="29">
        <f>+D48/D42</f>
        <v>58.09</v>
      </c>
      <c r="E51" s="29">
        <f t="shared" ref="E51:H51" si="27">+E48/E42</f>
        <v>62.881221179837816</v>
      </c>
      <c r="F51" s="29">
        <f t="shared" si="27"/>
        <v>68.616632214978537</v>
      </c>
      <c r="G51" s="29">
        <f t="shared" si="27"/>
        <v>68.470345046907298</v>
      </c>
      <c r="H51" s="29">
        <f t="shared" si="27"/>
        <v>52.49</v>
      </c>
      <c r="I51" s="29"/>
      <c r="J51" s="29"/>
      <c r="K51" s="29"/>
      <c r="L51" s="29"/>
      <c r="M51" s="29"/>
      <c r="N51" s="29"/>
      <c r="O51" s="85">
        <f>SUM(C51:N51)/6</f>
        <v>59.028033073620612</v>
      </c>
    </row>
    <row r="52" spans="1:15" x14ac:dyDescent="0.25">
      <c r="A52" s="16" t="s">
        <v>50</v>
      </c>
      <c r="B52" s="17" t="s">
        <v>47</v>
      </c>
      <c r="C52" s="30">
        <f>+C49/C42</f>
        <v>0</v>
      </c>
      <c r="D52" s="30">
        <f>+D49/D42</f>
        <v>0</v>
      </c>
      <c r="E52" s="30">
        <f t="shared" ref="E52:H52" si="28">+E49/E42</f>
        <v>0</v>
      </c>
      <c r="F52" s="30">
        <f t="shared" si="28"/>
        <v>0</v>
      </c>
      <c r="G52" s="30">
        <f t="shared" si="28"/>
        <v>0</v>
      </c>
      <c r="H52" s="30">
        <f t="shared" si="28"/>
        <v>0</v>
      </c>
      <c r="I52" s="30"/>
      <c r="J52" s="30"/>
      <c r="K52" s="30"/>
      <c r="L52" s="30"/>
      <c r="M52" s="30"/>
      <c r="N52" s="30"/>
      <c r="O52" s="44">
        <f>SUM(C52:N52)/6</f>
        <v>0</v>
      </c>
    </row>
    <row r="53" spans="1:15" x14ac:dyDescent="0.25">
      <c r="A53" s="16" t="s">
        <v>51</v>
      </c>
      <c r="B53" s="17" t="s">
        <v>47</v>
      </c>
      <c r="C53" s="30">
        <f>+C50/C42</f>
        <v>11.298897724790248</v>
      </c>
      <c r="D53" s="30">
        <f>+D50/D42</f>
        <v>22.674270044267352</v>
      </c>
      <c r="E53" s="30">
        <f t="shared" ref="E53:H53" si="29">+E50/E42</f>
        <v>39.462363884367647</v>
      </c>
      <c r="F53" s="30">
        <f t="shared" si="29"/>
        <v>19.750931177974465</v>
      </c>
      <c r="G53" s="30">
        <f t="shared" si="29"/>
        <v>23.850346457103495</v>
      </c>
      <c r="H53" s="30">
        <f t="shared" si="29"/>
        <v>45.310895539232995</v>
      </c>
      <c r="I53" s="30"/>
      <c r="J53" s="30"/>
      <c r="K53" s="30"/>
      <c r="L53" s="30"/>
      <c r="M53" s="30"/>
      <c r="N53" s="30"/>
      <c r="O53" s="43">
        <f>SUM(C53:N53)/6</f>
        <v>27.057950804622703</v>
      </c>
    </row>
    <row r="54" spans="1:15" x14ac:dyDescent="0.25">
      <c r="A54" s="19" t="s">
        <v>52</v>
      </c>
      <c r="B54" s="20" t="s">
        <v>47</v>
      </c>
      <c r="C54" s="29">
        <f>+C51-C52-C53</f>
        <v>32.321102275209753</v>
      </c>
      <c r="D54" s="29">
        <f>+D51-D52-D53</f>
        <v>35.415729955732651</v>
      </c>
      <c r="E54" s="29">
        <f t="shared" ref="E54:H54" si="30">+E51-E52-E53</f>
        <v>23.418857295470168</v>
      </c>
      <c r="F54" s="29">
        <f t="shared" si="30"/>
        <v>48.865701037004072</v>
      </c>
      <c r="G54" s="29">
        <f t="shared" si="30"/>
        <v>44.619998589803799</v>
      </c>
      <c r="H54" s="29">
        <f t="shared" si="30"/>
        <v>7.1791044607670074</v>
      </c>
      <c r="I54" s="29"/>
      <c r="J54" s="29"/>
      <c r="K54" s="29"/>
      <c r="L54" s="29"/>
      <c r="M54" s="29"/>
      <c r="N54" s="29"/>
      <c r="O54" s="85">
        <f>SUM(C54:N54)/6</f>
        <v>31.97008226899791</v>
      </c>
    </row>
    <row r="55" spans="1:15" x14ac:dyDescent="0.25">
      <c r="A55" s="19" t="s">
        <v>53</v>
      </c>
      <c r="B55" s="31" t="s">
        <v>54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/>
      <c r="J55" s="29"/>
      <c r="K55" s="29"/>
      <c r="L55" s="29"/>
      <c r="M55" s="29"/>
      <c r="N55" s="29"/>
      <c r="O55" s="85">
        <f>SUM(C55:N55)/6</f>
        <v>0</v>
      </c>
    </row>
    <row r="56" spans="1:15" x14ac:dyDescent="0.25">
      <c r="A56" s="16" t="s">
        <v>55</v>
      </c>
      <c r="B56" s="32" t="s">
        <v>54</v>
      </c>
      <c r="C56" s="30">
        <v>0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/>
      <c r="J56" s="30"/>
      <c r="K56" s="30"/>
      <c r="L56" s="30"/>
      <c r="M56" s="30"/>
      <c r="N56" s="30"/>
      <c r="O56" s="43">
        <f>SUM(C56:N56)/6</f>
        <v>0</v>
      </c>
    </row>
    <row r="57" spans="1:15" x14ac:dyDescent="0.25">
      <c r="A57" s="19" t="s">
        <v>56</v>
      </c>
      <c r="B57" s="31" t="s">
        <v>54</v>
      </c>
      <c r="C57" s="29">
        <f>+C49/C48*100</f>
        <v>0</v>
      </c>
      <c r="D57" s="29">
        <f>+D49/D48*100</f>
        <v>0</v>
      </c>
      <c r="E57" s="29">
        <f t="shared" ref="E57:H57" si="31">+E49/E48*100</f>
        <v>0</v>
      </c>
      <c r="F57" s="29">
        <f t="shared" si="31"/>
        <v>0</v>
      </c>
      <c r="G57" s="29">
        <f t="shared" si="31"/>
        <v>0</v>
      </c>
      <c r="H57" s="29">
        <f t="shared" si="31"/>
        <v>0</v>
      </c>
      <c r="I57" s="29"/>
      <c r="J57" s="29"/>
      <c r="K57" s="29"/>
      <c r="L57" s="29"/>
      <c r="M57" s="29"/>
      <c r="N57" s="29"/>
      <c r="O57" s="85">
        <f>SUM(C57:N57)/6</f>
        <v>0</v>
      </c>
    </row>
    <row r="58" spans="1:15" x14ac:dyDescent="0.25">
      <c r="A58" s="16" t="s">
        <v>57</v>
      </c>
      <c r="B58" s="32" t="s">
        <v>54</v>
      </c>
      <c r="C58" s="30">
        <f>C50/C48*100</f>
        <v>25.903020918822211</v>
      </c>
      <c r="D58" s="30">
        <f>D50/D48*100</f>
        <v>39.033000592644775</v>
      </c>
      <c r="E58" s="30">
        <f t="shared" ref="E58:H58" si="32">E50/E48*100</f>
        <v>62.756993493346513</v>
      </c>
      <c r="F58" s="30">
        <f t="shared" si="32"/>
        <v>28.784466011234773</v>
      </c>
      <c r="G58" s="30">
        <f t="shared" si="32"/>
        <v>34.833103938302379</v>
      </c>
      <c r="H58" s="30">
        <f t="shared" si="32"/>
        <v>86.322910152853865</v>
      </c>
      <c r="I58" s="30"/>
      <c r="J58" s="30"/>
      <c r="K58" s="30"/>
      <c r="L58" s="30"/>
      <c r="M58" s="30"/>
      <c r="N58" s="30"/>
      <c r="O58" s="44">
        <f>SUM(C58:N58)/6</f>
        <v>46.272249184534083</v>
      </c>
    </row>
    <row r="59" spans="1:15" x14ac:dyDescent="0.25">
      <c r="A59" s="33" t="s">
        <v>58</v>
      </c>
      <c r="B59" s="34" t="s">
        <v>54</v>
      </c>
      <c r="C59" s="35">
        <f>C50/(C48+C49)*100</f>
        <v>25.903020918822211</v>
      </c>
      <c r="D59" s="35">
        <f>D50/(D48+D49)*100</f>
        <v>39.033000592644775</v>
      </c>
      <c r="E59" s="35">
        <f t="shared" ref="E59:H59" si="33">E50/(E48+E49)*100</f>
        <v>62.756993493346513</v>
      </c>
      <c r="F59" s="35">
        <f t="shared" si="33"/>
        <v>28.784466011234773</v>
      </c>
      <c r="G59" s="35">
        <f t="shared" si="33"/>
        <v>34.833103938302379</v>
      </c>
      <c r="H59" s="35">
        <f t="shared" si="33"/>
        <v>86.322910152853865</v>
      </c>
      <c r="I59" s="35"/>
      <c r="J59" s="35"/>
      <c r="K59" s="35"/>
      <c r="L59" s="35"/>
      <c r="M59" s="35"/>
      <c r="N59" s="35"/>
      <c r="O59" s="43">
        <f>SUM(C59:N59)/6</f>
        <v>46.272249184534083</v>
      </c>
    </row>
  </sheetData>
  <mergeCells count="3">
    <mergeCell ref="A1:O1"/>
    <mergeCell ref="A2:O2"/>
    <mergeCell ref="A3:N3"/>
  </mergeCells>
  <pageMargins left="0.7" right="0.7" top="0.75" bottom="0.75" header="0.3" footer="0.3"/>
  <pageSetup scale="4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54"/>
  <sheetViews>
    <sheetView topLeftCell="G34" workbookViewId="0">
      <selection activeCell="O55" sqref="O55"/>
    </sheetView>
  </sheetViews>
  <sheetFormatPr defaultRowHeight="15" x14ac:dyDescent="0.25"/>
  <cols>
    <col min="1" max="1" width="30.140625" style="45" customWidth="1"/>
    <col min="2" max="2" width="6.85546875" style="45" customWidth="1"/>
    <col min="3" max="15" width="18.85546875" style="45" customWidth="1"/>
    <col min="16" max="16384" width="9.140625" style="45"/>
  </cols>
  <sheetData>
    <row r="1" spans="1:15" ht="18" x14ac:dyDescent="0.25">
      <c r="A1" s="120" t="s">
        <v>0</v>
      </c>
      <c r="B1" s="120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</row>
    <row r="2" spans="1:15" ht="18" x14ac:dyDescent="0.25">
      <c r="A2" s="120" t="s">
        <v>39</v>
      </c>
      <c r="B2" s="120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</row>
    <row r="3" spans="1:15" customFormat="1" x14ac:dyDescent="0.25">
      <c r="A3" s="116" t="str">
        <f>+'100 5-30-9-7 '!A3:N3</f>
        <v xml:space="preserve">January 2019 - 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</row>
    <row r="4" spans="1:15" customFormat="1" x14ac:dyDescent="0.25">
      <c r="N4" s="99"/>
    </row>
    <row r="5" spans="1:15" customFormat="1" x14ac:dyDescent="0.25">
      <c r="A5" s="1"/>
      <c r="C5" s="109">
        <v>43466</v>
      </c>
      <c r="D5" s="109">
        <v>43514</v>
      </c>
      <c r="E5" s="109">
        <v>43542</v>
      </c>
      <c r="F5" s="109">
        <v>43573</v>
      </c>
      <c r="G5" s="109">
        <v>43603</v>
      </c>
      <c r="H5" s="109">
        <v>43634</v>
      </c>
      <c r="I5" s="109">
        <v>43664</v>
      </c>
      <c r="J5" s="109">
        <v>43695</v>
      </c>
      <c r="K5" s="109">
        <v>43726</v>
      </c>
      <c r="L5" s="109">
        <v>43756</v>
      </c>
      <c r="M5" s="109">
        <v>43787</v>
      </c>
      <c r="N5" s="109">
        <v>43817</v>
      </c>
      <c r="O5" s="2" t="s">
        <v>2</v>
      </c>
    </row>
    <row r="6" spans="1:15" x14ac:dyDescent="0.25">
      <c r="A6" s="46" t="s">
        <v>3</v>
      </c>
      <c r="B6" s="46"/>
      <c r="C6" s="47"/>
      <c r="D6" s="47"/>
      <c r="E6" s="47"/>
      <c r="F6" s="47"/>
      <c r="G6" s="47"/>
      <c r="H6" s="47"/>
      <c r="I6" s="78"/>
      <c r="J6" s="78"/>
      <c r="K6" s="78"/>
      <c r="L6" s="78"/>
      <c r="M6" s="78"/>
      <c r="N6" s="78"/>
      <c r="O6" s="47"/>
    </row>
    <row r="7" spans="1:15" x14ac:dyDescent="0.25">
      <c r="A7" s="46" t="s">
        <v>21</v>
      </c>
      <c r="B7" s="46"/>
      <c r="C7" s="47"/>
      <c r="D7" s="47"/>
      <c r="E7" s="47"/>
      <c r="F7" s="47"/>
      <c r="G7" s="47"/>
      <c r="H7" s="47"/>
      <c r="I7" s="78"/>
      <c r="J7" s="78"/>
      <c r="K7" s="78"/>
      <c r="L7" s="78"/>
      <c r="M7" s="78"/>
      <c r="N7" s="78"/>
      <c r="O7" s="48"/>
    </row>
    <row r="8" spans="1:15" x14ac:dyDescent="0.25">
      <c r="A8" s="46" t="s">
        <v>22</v>
      </c>
      <c r="B8" s="46"/>
      <c r="C8" s="47"/>
      <c r="D8" s="47"/>
      <c r="E8" s="47"/>
      <c r="F8" s="47"/>
      <c r="G8" s="47"/>
      <c r="H8" s="47"/>
      <c r="I8" s="78"/>
      <c r="J8" s="78"/>
      <c r="K8" s="78"/>
      <c r="L8" s="78"/>
      <c r="M8" s="78"/>
      <c r="N8" s="78"/>
      <c r="O8" s="48"/>
    </row>
    <row r="9" spans="1:15" x14ac:dyDescent="0.25">
      <c r="A9" s="46" t="s">
        <v>23</v>
      </c>
      <c r="B9" s="46"/>
      <c r="C9" s="48">
        <v>13134.86</v>
      </c>
      <c r="D9" s="48">
        <v>7003.39</v>
      </c>
      <c r="E9" s="48">
        <v>9807.34</v>
      </c>
      <c r="F9" s="48">
        <v>11171.32</v>
      </c>
      <c r="G9" s="48">
        <v>10339.85</v>
      </c>
      <c r="H9" s="48">
        <v>9495.19</v>
      </c>
      <c r="I9" s="79"/>
      <c r="J9" s="79"/>
      <c r="K9" s="79"/>
      <c r="L9" s="79"/>
      <c r="M9" s="79"/>
      <c r="N9" s="79"/>
      <c r="O9" s="48">
        <f>SUM(C9:N9)</f>
        <v>60951.950000000004</v>
      </c>
    </row>
    <row r="10" spans="1:15" x14ac:dyDescent="0.25">
      <c r="A10" s="46" t="s">
        <v>24</v>
      </c>
      <c r="B10" s="46"/>
      <c r="C10" s="49">
        <f t="shared" ref="C10:I10" si="0">(C8)+(C9)</f>
        <v>13134.86</v>
      </c>
      <c r="D10" s="49">
        <f t="shared" si="0"/>
        <v>7003.39</v>
      </c>
      <c r="E10" s="49">
        <f t="shared" si="0"/>
        <v>9807.34</v>
      </c>
      <c r="F10" s="49">
        <f t="shared" si="0"/>
        <v>11171.32</v>
      </c>
      <c r="G10" s="49">
        <f t="shared" si="0"/>
        <v>10339.85</v>
      </c>
      <c r="H10" s="49">
        <f t="shared" si="0"/>
        <v>9495.19</v>
      </c>
      <c r="I10" s="82">
        <f t="shared" si="0"/>
        <v>0</v>
      </c>
      <c r="J10" s="82">
        <f>(J8)+(J9)</f>
        <v>0</v>
      </c>
      <c r="K10" s="82">
        <f t="shared" ref="K10:L10" si="1">(K8)+(K9)</f>
        <v>0</v>
      </c>
      <c r="L10" s="82">
        <f t="shared" si="1"/>
        <v>0</v>
      </c>
      <c r="M10" s="82">
        <f t="shared" ref="M10:N10" si="2">(M8)+(M9)</f>
        <v>0</v>
      </c>
      <c r="N10" s="82">
        <f t="shared" si="2"/>
        <v>0</v>
      </c>
      <c r="O10" s="96">
        <f t="shared" ref="O10:O34" si="3">SUM(C10:N10)</f>
        <v>60951.950000000004</v>
      </c>
    </row>
    <row r="11" spans="1:15" x14ac:dyDescent="0.25">
      <c r="A11" s="46" t="s">
        <v>25</v>
      </c>
      <c r="B11" s="46"/>
      <c r="C11" s="49">
        <f t="shared" ref="C11:I11" si="4">(C7)+(C10)</f>
        <v>13134.86</v>
      </c>
      <c r="D11" s="49">
        <f t="shared" si="4"/>
        <v>7003.39</v>
      </c>
      <c r="E11" s="49">
        <f t="shared" si="4"/>
        <v>9807.34</v>
      </c>
      <c r="F11" s="49">
        <f t="shared" si="4"/>
        <v>11171.32</v>
      </c>
      <c r="G11" s="49">
        <f t="shared" si="4"/>
        <v>10339.85</v>
      </c>
      <c r="H11" s="49">
        <f t="shared" si="4"/>
        <v>9495.19</v>
      </c>
      <c r="I11" s="82">
        <f t="shared" si="4"/>
        <v>0</v>
      </c>
      <c r="J11" s="82">
        <f>(J7)+(J10)</f>
        <v>0</v>
      </c>
      <c r="K11" s="82">
        <f t="shared" ref="K11:L11" si="5">(K7)+(K10)</f>
        <v>0</v>
      </c>
      <c r="L11" s="82">
        <f t="shared" si="5"/>
        <v>0</v>
      </c>
      <c r="M11" s="82">
        <f t="shared" ref="M11:N11" si="6">(M7)+(M10)</f>
        <v>0</v>
      </c>
      <c r="N11" s="82">
        <f t="shared" si="6"/>
        <v>0</v>
      </c>
      <c r="O11" s="97">
        <f t="shared" si="3"/>
        <v>60951.950000000004</v>
      </c>
    </row>
    <row r="12" spans="1:15" x14ac:dyDescent="0.25">
      <c r="A12" s="46" t="s">
        <v>26</v>
      </c>
      <c r="B12" s="46"/>
      <c r="C12" s="47"/>
      <c r="D12" s="47"/>
      <c r="E12" s="47"/>
      <c r="F12" s="47"/>
      <c r="G12" s="47"/>
      <c r="H12" s="47"/>
      <c r="I12" s="78"/>
      <c r="J12" s="78"/>
      <c r="K12" s="78"/>
      <c r="L12" s="78"/>
      <c r="M12" s="78"/>
      <c r="N12" s="78"/>
      <c r="O12" s="48"/>
    </row>
    <row r="13" spans="1:15" x14ac:dyDescent="0.25">
      <c r="A13" s="46" t="s">
        <v>34</v>
      </c>
      <c r="B13" s="46"/>
      <c r="C13" s="48">
        <v>0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79">
        <v>0</v>
      </c>
      <c r="J13" s="79">
        <v>0</v>
      </c>
      <c r="K13" s="79">
        <v>0</v>
      </c>
      <c r="L13" s="79">
        <v>0</v>
      </c>
      <c r="M13" s="79">
        <v>0</v>
      </c>
      <c r="N13" s="79">
        <v>0</v>
      </c>
      <c r="O13" s="48">
        <f t="shared" si="3"/>
        <v>0</v>
      </c>
    </row>
    <row r="14" spans="1:15" x14ac:dyDescent="0.25">
      <c r="A14" s="46" t="s">
        <v>27</v>
      </c>
      <c r="B14" s="46"/>
      <c r="C14" s="49">
        <f t="shared" ref="C14:H14" si="7">(C12)+(C13)</f>
        <v>0</v>
      </c>
      <c r="D14" s="49">
        <f t="shared" si="7"/>
        <v>0</v>
      </c>
      <c r="E14" s="49">
        <f t="shared" si="7"/>
        <v>0</v>
      </c>
      <c r="F14" s="49">
        <f t="shared" si="7"/>
        <v>0</v>
      </c>
      <c r="G14" s="49">
        <f t="shared" si="7"/>
        <v>0</v>
      </c>
      <c r="H14" s="49">
        <f t="shared" si="7"/>
        <v>0</v>
      </c>
      <c r="I14" s="49">
        <f t="shared" ref="I14" si="8">(I12)+(I13)</f>
        <v>0</v>
      </c>
      <c r="J14" s="49">
        <f>(J12)+(J13)</f>
        <v>0</v>
      </c>
      <c r="K14" s="49">
        <f t="shared" ref="K14:L14" si="9">(K12)+(K13)</f>
        <v>0</v>
      </c>
      <c r="L14" s="49">
        <f t="shared" si="9"/>
        <v>0</v>
      </c>
      <c r="M14" s="49">
        <f t="shared" ref="M14:N14" si="10">(M12)+(M13)</f>
        <v>0</v>
      </c>
      <c r="N14" s="49">
        <f t="shared" si="10"/>
        <v>0</v>
      </c>
      <c r="O14" s="96">
        <f t="shared" si="3"/>
        <v>0</v>
      </c>
    </row>
    <row r="15" spans="1:15" x14ac:dyDescent="0.25">
      <c r="A15" s="46" t="s">
        <v>4</v>
      </c>
      <c r="B15" s="46"/>
      <c r="C15" s="49">
        <f t="shared" ref="C15:H15" si="11">(C11)+(C14)</f>
        <v>13134.86</v>
      </c>
      <c r="D15" s="49">
        <f t="shared" si="11"/>
        <v>7003.39</v>
      </c>
      <c r="E15" s="49">
        <f t="shared" si="11"/>
        <v>9807.34</v>
      </c>
      <c r="F15" s="49">
        <f t="shared" si="11"/>
        <v>11171.32</v>
      </c>
      <c r="G15" s="49">
        <f t="shared" si="11"/>
        <v>10339.85</v>
      </c>
      <c r="H15" s="49">
        <f t="shared" si="11"/>
        <v>9495.19</v>
      </c>
      <c r="I15" s="49">
        <f t="shared" ref="I15" si="12">(I11)+(I14)</f>
        <v>0</v>
      </c>
      <c r="J15" s="49">
        <f>(J11)+(J14)</f>
        <v>0</v>
      </c>
      <c r="K15" s="49">
        <f t="shared" ref="K15:L15" si="13">(K11)+(K14)</f>
        <v>0</v>
      </c>
      <c r="L15" s="49">
        <f t="shared" si="13"/>
        <v>0</v>
      </c>
      <c r="M15" s="49">
        <f t="shared" ref="M15:N15" si="14">(M11)+(M14)</f>
        <v>0</v>
      </c>
      <c r="N15" s="49">
        <f t="shared" si="14"/>
        <v>0</v>
      </c>
      <c r="O15" s="96">
        <f t="shared" si="3"/>
        <v>60951.950000000004</v>
      </c>
    </row>
    <row r="16" spans="1:15" x14ac:dyDescent="0.25">
      <c r="A16" s="46" t="s">
        <v>5</v>
      </c>
      <c r="B16" s="46"/>
      <c r="C16" s="49">
        <f t="shared" ref="C16:H16" si="15">(C15)-(0)</f>
        <v>13134.86</v>
      </c>
      <c r="D16" s="49">
        <f t="shared" si="15"/>
        <v>7003.39</v>
      </c>
      <c r="E16" s="49">
        <f t="shared" si="15"/>
        <v>9807.34</v>
      </c>
      <c r="F16" s="49">
        <f t="shared" si="15"/>
        <v>11171.32</v>
      </c>
      <c r="G16" s="49">
        <f t="shared" si="15"/>
        <v>10339.85</v>
      </c>
      <c r="H16" s="49">
        <f t="shared" si="15"/>
        <v>9495.19</v>
      </c>
      <c r="I16" s="49">
        <f t="shared" ref="I16:J16" si="16">(I15)-(0)</f>
        <v>0</v>
      </c>
      <c r="J16" s="49">
        <f t="shared" si="16"/>
        <v>0</v>
      </c>
      <c r="K16" s="49">
        <f t="shared" ref="K16:L16" si="17">(K15)-(0)</f>
        <v>0</v>
      </c>
      <c r="L16" s="49">
        <f t="shared" si="17"/>
        <v>0</v>
      </c>
      <c r="M16" s="49">
        <f t="shared" ref="M16:N16" si="18">(M15)-(0)</f>
        <v>0</v>
      </c>
      <c r="N16" s="49">
        <f t="shared" si="18"/>
        <v>0</v>
      </c>
      <c r="O16" s="97">
        <f t="shared" si="3"/>
        <v>60951.950000000004</v>
      </c>
    </row>
    <row r="17" spans="1:15" x14ac:dyDescent="0.25">
      <c r="A17" s="46" t="s">
        <v>6</v>
      </c>
      <c r="B17" s="46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8"/>
    </row>
    <row r="18" spans="1:15" x14ac:dyDescent="0.25">
      <c r="A18" s="46" t="s">
        <v>7</v>
      </c>
      <c r="B18" s="46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8"/>
    </row>
    <row r="19" spans="1:15" x14ac:dyDescent="0.25">
      <c r="A19" s="46" t="s">
        <v>28</v>
      </c>
      <c r="B19" s="46"/>
      <c r="C19" s="48"/>
      <c r="D19" s="47"/>
      <c r="E19" s="47"/>
      <c r="F19" s="47"/>
      <c r="G19" s="47"/>
      <c r="H19" s="47"/>
      <c r="I19" s="78"/>
      <c r="J19" s="78"/>
      <c r="K19" s="78"/>
      <c r="L19" s="78"/>
      <c r="M19" s="78"/>
      <c r="N19" s="78"/>
      <c r="O19" s="48">
        <f t="shared" si="3"/>
        <v>0</v>
      </c>
    </row>
    <row r="20" spans="1:15" x14ac:dyDescent="0.25">
      <c r="A20" s="46" t="s">
        <v>17</v>
      </c>
      <c r="B20" s="46"/>
      <c r="C20" s="48">
        <v>860.92</v>
      </c>
      <c r="D20" s="48">
        <v>669.05</v>
      </c>
      <c r="E20" s="48">
        <v>860.9</v>
      </c>
      <c r="F20" s="48">
        <v>790.95</v>
      </c>
      <c r="G20" s="48">
        <v>770</v>
      </c>
      <c r="H20" s="48">
        <v>1624.48</v>
      </c>
      <c r="I20" s="79"/>
      <c r="J20" s="79"/>
      <c r="K20" s="79"/>
      <c r="L20" s="79"/>
      <c r="M20" s="79"/>
      <c r="N20" s="79"/>
      <c r="O20" s="48">
        <f t="shared" si="3"/>
        <v>5576.2999999999993</v>
      </c>
    </row>
    <row r="21" spans="1:15" x14ac:dyDescent="0.25">
      <c r="A21" s="46" t="s">
        <v>8</v>
      </c>
      <c r="B21" s="46"/>
      <c r="C21" s="48">
        <v>1340.4</v>
      </c>
      <c r="D21" s="48">
        <v>2251.54</v>
      </c>
      <c r="E21" s="48">
        <v>1639.66</v>
      </c>
      <c r="F21" s="48">
        <v>1322.3</v>
      </c>
      <c r="G21" s="48">
        <v>1526.54</v>
      </c>
      <c r="H21" s="48">
        <v>1219.56</v>
      </c>
      <c r="I21" s="79"/>
      <c r="J21" s="79"/>
      <c r="K21" s="79"/>
      <c r="L21" s="79"/>
      <c r="M21" s="79"/>
      <c r="N21" s="79"/>
      <c r="O21" s="48">
        <f t="shared" si="3"/>
        <v>9300</v>
      </c>
    </row>
    <row r="22" spans="1:15" customFormat="1" x14ac:dyDescent="0.25">
      <c r="A22" s="83" t="s">
        <v>9</v>
      </c>
      <c r="B22" s="78"/>
      <c r="C22" s="78"/>
      <c r="D22" s="78"/>
      <c r="E22" s="78"/>
      <c r="F22" s="78"/>
      <c r="G22" s="78"/>
      <c r="H22" s="78"/>
      <c r="I22" s="78"/>
      <c r="J22" s="79"/>
      <c r="K22" s="79"/>
      <c r="L22" s="79"/>
      <c r="M22" s="79"/>
      <c r="N22" s="79"/>
      <c r="O22" s="48">
        <f t="shared" si="3"/>
        <v>0</v>
      </c>
    </row>
    <row r="23" spans="1:15" customFormat="1" x14ac:dyDescent="0.25">
      <c r="A23" s="83" t="s">
        <v>11</v>
      </c>
      <c r="B23" s="78"/>
      <c r="C23" s="78"/>
      <c r="D23" s="78"/>
      <c r="E23" s="78"/>
      <c r="F23" s="78"/>
      <c r="G23" s="78"/>
      <c r="H23" s="78"/>
      <c r="I23" s="79"/>
      <c r="J23" s="79"/>
      <c r="K23" s="79"/>
      <c r="L23" s="79"/>
      <c r="M23" s="79"/>
      <c r="N23" s="79"/>
      <c r="O23" s="48">
        <f t="shared" si="3"/>
        <v>0</v>
      </c>
    </row>
    <row r="24" spans="1:15" customFormat="1" x14ac:dyDescent="0.25">
      <c r="A24" s="83" t="s">
        <v>12</v>
      </c>
      <c r="B24" s="84"/>
      <c r="C24" s="82">
        <f t="shared" ref="C24:N24" si="19">(C22)+(C23)</f>
        <v>0</v>
      </c>
      <c r="D24" s="82">
        <f t="shared" si="19"/>
        <v>0</v>
      </c>
      <c r="E24" s="82">
        <f t="shared" si="19"/>
        <v>0</v>
      </c>
      <c r="F24" s="82">
        <f t="shared" si="19"/>
        <v>0</v>
      </c>
      <c r="G24" s="82">
        <f t="shared" si="19"/>
        <v>0</v>
      </c>
      <c r="H24" s="82">
        <f t="shared" si="19"/>
        <v>0</v>
      </c>
      <c r="I24" s="82">
        <f t="shared" si="19"/>
        <v>0</v>
      </c>
      <c r="J24" s="82">
        <f t="shared" si="19"/>
        <v>0</v>
      </c>
      <c r="K24" s="82">
        <f t="shared" si="19"/>
        <v>0</v>
      </c>
      <c r="L24" s="82">
        <f t="shared" si="19"/>
        <v>0</v>
      </c>
      <c r="M24" s="82">
        <f t="shared" si="19"/>
        <v>0</v>
      </c>
      <c r="N24" s="82">
        <f t="shared" si="19"/>
        <v>0</v>
      </c>
      <c r="O24" s="97">
        <f t="shared" si="3"/>
        <v>0</v>
      </c>
    </row>
    <row r="25" spans="1:15" x14ac:dyDescent="0.25">
      <c r="A25" s="46" t="s">
        <v>13</v>
      </c>
      <c r="B25" s="46"/>
      <c r="C25" s="48"/>
      <c r="D25" s="48"/>
      <c r="E25" s="48">
        <v>171.9</v>
      </c>
      <c r="F25" s="48"/>
      <c r="G25" s="47">
        <v>563.91</v>
      </c>
      <c r="H25" s="47"/>
      <c r="I25" s="78"/>
      <c r="J25" s="79"/>
      <c r="K25" s="79"/>
      <c r="L25" s="79"/>
      <c r="M25" s="79"/>
      <c r="N25" s="79"/>
      <c r="O25" s="48">
        <f t="shared" si="3"/>
        <v>735.81</v>
      </c>
    </row>
    <row r="26" spans="1:15" x14ac:dyDescent="0.25">
      <c r="A26" s="3" t="s">
        <v>73</v>
      </c>
      <c r="B26" s="46"/>
      <c r="C26" s="48"/>
      <c r="D26" s="48"/>
      <c r="E26" s="48"/>
      <c r="F26" s="48"/>
      <c r="G26" s="47"/>
      <c r="H26" s="47"/>
      <c r="I26" s="78"/>
      <c r="J26" s="79"/>
      <c r="K26" s="79"/>
      <c r="L26" s="79"/>
      <c r="M26" s="79"/>
      <c r="N26" s="79"/>
      <c r="O26" s="48">
        <f t="shared" si="3"/>
        <v>0</v>
      </c>
    </row>
    <row r="27" spans="1:15" s="112" customFormat="1" x14ac:dyDescent="0.25">
      <c r="A27" s="3" t="s">
        <v>29</v>
      </c>
      <c r="B27" s="46"/>
      <c r="C27" s="48"/>
      <c r="D27" s="48"/>
      <c r="E27" s="48"/>
      <c r="F27" s="48">
        <v>285</v>
      </c>
      <c r="G27" s="47"/>
      <c r="H27" s="47"/>
      <c r="I27" s="78"/>
      <c r="J27" s="79"/>
      <c r="K27" s="79"/>
      <c r="L27" s="79"/>
      <c r="M27" s="79"/>
      <c r="N27" s="79"/>
      <c r="O27" s="48">
        <f t="shared" si="3"/>
        <v>285</v>
      </c>
    </row>
    <row r="28" spans="1:15" x14ac:dyDescent="0.25">
      <c r="A28" s="3" t="s">
        <v>30</v>
      </c>
      <c r="B28" s="46"/>
      <c r="C28" s="48"/>
      <c r="D28" s="48"/>
      <c r="E28" s="48"/>
      <c r="F28" s="48"/>
      <c r="G28" s="47">
        <v>231.81</v>
      </c>
      <c r="H28" s="47"/>
      <c r="I28" s="78"/>
      <c r="J28" s="79"/>
      <c r="K28" s="79"/>
      <c r="L28" s="79"/>
      <c r="M28" s="79"/>
      <c r="N28" s="79"/>
      <c r="O28" s="48">
        <f t="shared" si="3"/>
        <v>231.81</v>
      </c>
    </row>
    <row r="29" spans="1:15" x14ac:dyDescent="0.25">
      <c r="A29" s="46" t="s">
        <v>18</v>
      </c>
      <c r="B29" s="46"/>
      <c r="C29" s="47"/>
      <c r="D29" s="47"/>
      <c r="E29" s="47">
        <v>812.28</v>
      </c>
      <c r="F29" s="48"/>
      <c r="G29" s="47"/>
      <c r="H29" s="47"/>
      <c r="I29" s="47"/>
      <c r="J29" s="47"/>
      <c r="K29" s="47"/>
      <c r="L29" s="47"/>
      <c r="M29" s="47"/>
      <c r="N29" s="47"/>
      <c r="O29" s="48">
        <f t="shared" si="3"/>
        <v>812.28</v>
      </c>
    </row>
    <row r="30" spans="1:15" s="112" customFormat="1" x14ac:dyDescent="0.25">
      <c r="A30" s="3" t="s">
        <v>71</v>
      </c>
      <c r="B30" s="46"/>
      <c r="C30" s="47"/>
      <c r="D30" s="47"/>
      <c r="E30" s="47"/>
      <c r="F30" s="48">
        <v>159.9</v>
      </c>
      <c r="G30" s="47"/>
      <c r="H30" s="47"/>
      <c r="I30" s="47"/>
      <c r="J30" s="47"/>
      <c r="K30" s="47"/>
      <c r="L30" s="47"/>
      <c r="M30" s="47"/>
      <c r="N30" s="47"/>
      <c r="O30" s="48">
        <f t="shared" si="3"/>
        <v>159.9</v>
      </c>
    </row>
    <row r="31" spans="1:15" x14ac:dyDescent="0.25">
      <c r="A31" s="46" t="s">
        <v>32</v>
      </c>
      <c r="B31" s="46"/>
      <c r="C31" s="48">
        <v>705.64</v>
      </c>
      <c r="D31" s="48">
        <v>343.91</v>
      </c>
      <c r="E31" s="48">
        <v>429.65</v>
      </c>
      <c r="F31" s="48">
        <v>441.07</v>
      </c>
      <c r="G31" s="48">
        <v>467.26</v>
      </c>
      <c r="H31" s="48">
        <f>1026.28+183.7+135.22</f>
        <v>1345.2</v>
      </c>
      <c r="I31" s="79"/>
      <c r="J31" s="79"/>
      <c r="K31" s="79"/>
      <c r="L31" s="79"/>
      <c r="M31" s="79"/>
      <c r="N31" s="79"/>
      <c r="O31" s="48">
        <f t="shared" si="3"/>
        <v>3732.7299999999996</v>
      </c>
    </row>
    <row r="32" spans="1:15" x14ac:dyDescent="0.25">
      <c r="A32" s="46" t="s">
        <v>14</v>
      </c>
      <c r="B32" s="46"/>
      <c r="C32" s="49">
        <f>+C19+C20+C21+C24+C25+C26+C28+C29+C31+C27+C30</f>
        <v>2906.96</v>
      </c>
      <c r="D32" s="49">
        <f t="shared" ref="D32:N32" si="20">+D19+D20+D21+D24+D25+D26+D28+D29+D31+D27+D30</f>
        <v>3264.5</v>
      </c>
      <c r="E32" s="49">
        <f t="shared" si="20"/>
        <v>3914.39</v>
      </c>
      <c r="F32" s="49">
        <f t="shared" si="20"/>
        <v>2999.2200000000003</v>
      </c>
      <c r="G32" s="49">
        <f t="shared" si="20"/>
        <v>3559.5199999999995</v>
      </c>
      <c r="H32" s="49">
        <f t="shared" si="20"/>
        <v>4189.24</v>
      </c>
      <c r="I32" s="49">
        <f t="shared" si="20"/>
        <v>0</v>
      </c>
      <c r="J32" s="49">
        <f t="shared" si="20"/>
        <v>0</v>
      </c>
      <c r="K32" s="49">
        <f t="shared" si="20"/>
        <v>0</v>
      </c>
      <c r="L32" s="49">
        <f t="shared" si="20"/>
        <v>0</v>
      </c>
      <c r="M32" s="49">
        <f t="shared" si="20"/>
        <v>0</v>
      </c>
      <c r="N32" s="49">
        <f t="shared" si="20"/>
        <v>0</v>
      </c>
      <c r="O32" s="96">
        <f t="shared" si="3"/>
        <v>20833.830000000002</v>
      </c>
    </row>
    <row r="33" spans="1:15" x14ac:dyDescent="0.25">
      <c r="A33" s="46" t="s">
        <v>15</v>
      </c>
      <c r="B33" s="46"/>
      <c r="C33" s="49">
        <f t="shared" ref="C33:N33" si="21">C32</f>
        <v>2906.96</v>
      </c>
      <c r="D33" s="49">
        <f t="shared" si="21"/>
        <v>3264.5</v>
      </c>
      <c r="E33" s="49">
        <f t="shared" si="21"/>
        <v>3914.39</v>
      </c>
      <c r="F33" s="49">
        <f t="shared" si="21"/>
        <v>2999.2200000000003</v>
      </c>
      <c r="G33" s="49">
        <f t="shared" si="21"/>
        <v>3559.5199999999995</v>
      </c>
      <c r="H33" s="49">
        <f t="shared" si="21"/>
        <v>4189.24</v>
      </c>
      <c r="I33" s="49">
        <f t="shared" si="21"/>
        <v>0</v>
      </c>
      <c r="J33" s="49">
        <f t="shared" si="21"/>
        <v>0</v>
      </c>
      <c r="K33" s="49">
        <f t="shared" si="21"/>
        <v>0</v>
      </c>
      <c r="L33" s="49">
        <f t="shared" si="21"/>
        <v>0</v>
      </c>
      <c r="M33" s="49">
        <f t="shared" si="21"/>
        <v>0</v>
      </c>
      <c r="N33" s="49">
        <f t="shared" si="21"/>
        <v>0</v>
      </c>
      <c r="O33" s="96">
        <f t="shared" si="3"/>
        <v>20833.830000000002</v>
      </c>
    </row>
    <row r="34" spans="1:15" x14ac:dyDescent="0.25">
      <c r="A34" s="46" t="s">
        <v>16</v>
      </c>
      <c r="B34" s="46"/>
      <c r="C34" s="49">
        <f t="shared" ref="C34:N34" si="22">(((C16)-(C33))+(0))-(0)</f>
        <v>10227.900000000001</v>
      </c>
      <c r="D34" s="49">
        <f t="shared" si="22"/>
        <v>3738.8900000000003</v>
      </c>
      <c r="E34" s="49">
        <f t="shared" si="22"/>
        <v>5892.9500000000007</v>
      </c>
      <c r="F34" s="49">
        <f t="shared" si="22"/>
        <v>8172.0999999999995</v>
      </c>
      <c r="G34" s="49">
        <f t="shared" si="22"/>
        <v>6780.3300000000008</v>
      </c>
      <c r="H34" s="49">
        <f t="shared" si="22"/>
        <v>5305.9500000000007</v>
      </c>
      <c r="I34" s="49">
        <f t="shared" si="22"/>
        <v>0</v>
      </c>
      <c r="J34" s="49">
        <f t="shared" si="22"/>
        <v>0</v>
      </c>
      <c r="K34" s="49">
        <f t="shared" si="22"/>
        <v>0</v>
      </c>
      <c r="L34" s="49">
        <f t="shared" si="22"/>
        <v>0</v>
      </c>
      <c r="M34" s="49">
        <f t="shared" si="22"/>
        <v>0</v>
      </c>
      <c r="N34" s="49">
        <f t="shared" si="22"/>
        <v>0</v>
      </c>
      <c r="O34" s="97">
        <f t="shared" si="3"/>
        <v>40118.119999999995</v>
      </c>
    </row>
    <row r="35" spans="1:15" x14ac:dyDescent="0.25">
      <c r="A35" s="46"/>
      <c r="B35" s="46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</row>
    <row r="36" spans="1:15" x14ac:dyDescent="0.25">
      <c r="A36" s="50" t="s">
        <v>43</v>
      </c>
      <c r="B36" s="50"/>
      <c r="C36" s="51"/>
      <c r="D36" s="51"/>
      <c r="E36" s="51"/>
      <c r="F36" s="51"/>
      <c r="G36" s="51"/>
      <c r="H36" s="52"/>
      <c r="I36" s="52"/>
      <c r="J36" s="52"/>
      <c r="K36" s="52"/>
      <c r="L36" s="52"/>
      <c r="M36" s="52"/>
      <c r="N36" s="52"/>
      <c r="O36" s="53"/>
    </row>
    <row r="37" spans="1:15" x14ac:dyDescent="0.25">
      <c r="A37" s="54" t="s">
        <v>44</v>
      </c>
      <c r="B37" s="55" t="s">
        <v>45</v>
      </c>
      <c r="C37" s="56">
        <f>C43/C41</f>
        <v>301.12012838147643</v>
      </c>
      <c r="D37" s="56">
        <f>D43/D41</f>
        <v>120.56102599414702</v>
      </c>
      <c r="E37" s="56">
        <f t="shared" ref="E37:H37" si="23">E43/E41</f>
        <v>155.96611859606534</v>
      </c>
      <c r="F37" s="56">
        <f t="shared" si="23"/>
        <v>162.80775723588161</v>
      </c>
      <c r="G37" s="56">
        <f t="shared" si="23"/>
        <v>151.01209133554727</v>
      </c>
      <c r="H37" s="56">
        <f t="shared" si="23"/>
        <v>180.89521813678797</v>
      </c>
      <c r="I37" s="56"/>
      <c r="J37" s="56"/>
      <c r="K37" s="56"/>
      <c r="L37" s="56"/>
      <c r="M37" s="56"/>
      <c r="N37" s="56"/>
      <c r="O37" s="57">
        <f>SUM(C37:N37)</f>
        <v>1072.3623396799055</v>
      </c>
    </row>
    <row r="38" spans="1:15" x14ac:dyDescent="0.25">
      <c r="A38" s="58"/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53"/>
    </row>
    <row r="39" spans="1:15" x14ac:dyDescent="0.25">
      <c r="A39" s="54" t="s">
        <v>59</v>
      </c>
      <c r="B39" s="55" t="s">
        <v>46</v>
      </c>
      <c r="C39" s="56">
        <f>40.2/672*24*6.289</f>
        <v>9.0292071428571425</v>
      </c>
      <c r="D39" s="56">
        <f>20.9/432*24*6.289</f>
        <v>7.3022277777777767</v>
      </c>
      <c r="E39" s="56">
        <f>28.5/696*24*6.289</f>
        <v>6.1805689655172404</v>
      </c>
      <c r="F39" s="56">
        <f>29.1/696*24*6.289</f>
        <v>6.310686206896551</v>
      </c>
      <c r="G39" s="56">
        <v>5.8</v>
      </c>
      <c r="H39" s="56">
        <f>35.9/552*24*6.289</f>
        <v>9.8163086956521735</v>
      </c>
      <c r="I39" s="56"/>
      <c r="J39" s="56"/>
      <c r="K39" s="56"/>
      <c r="L39" s="56"/>
      <c r="M39" s="56"/>
      <c r="N39" s="56"/>
      <c r="O39" s="57">
        <f>SUM(C39:N39)/6</f>
        <v>7.4064997981168146</v>
      </c>
    </row>
    <row r="40" spans="1:15" x14ac:dyDescent="0.25">
      <c r="A40" s="58"/>
      <c r="B40" s="50"/>
      <c r="C40" s="61"/>
      <c r="D40" s="61"/>
      <c r="E40" s="51"/>
      <c r="F40" s="51"/>
      <c r="G40" s="51"/>
      <c r="H40" s="51"/>
      <c r="I40" s="52"/>
      <c r="J40" s="52"/>
      <c r="K40" s="52"/>
      <c r="L40" s="52"/>
      <c r="M40" s="52"/>
      <c r="N40" s="52"/>
      <c r="O40" s="62"/>
    </row>
    <row r="41" spans="1:15" x14ac:dyDescent="0.25">
      <c r="A41" s="54" t="s">
        <v>44</v>
      </c>
      <c r="B41" s="55" t="s">
        <v>47</v>
      </c>
      <c r="C41" s="60">
        <f>+'102 8-35-9-8'!C43</f>
        <v>43.62</v>
      </c>
      <c r="D41" s="60">
        <f>+'102 8-35-9-8'!D43</f>
        <v>58.09</v>
      </c>
      <c r="E41" s="60">
        <f>+'102 8-35-9-8'!E43</f>
        <v>62.881221179837809</v>
      </c>
      <c r="F41" s="60">
        <f>+'102 8-35-9-8'!F43</f>
        <v>68.616632214978537</v>
      </c>
      <c r="G41" s="60">
        <f>+'102 8-35-9-8'!G43</f>
        <v>68.470345046907298</v>
      </c>
      <c r="H41" s="60">
        <f>+'102 8-35-9-8'!H43</f>
        <v>52.49</v>
      </c>
      <c r="I41" s="60"/>
      <c r="J41" s="60"/>
      <c r="K41" s="60"/>
      <c r="L41" s="60"/>
      <c r="M41" s="60"/>
      <c r="N41" s="60"/>
      <c r="O41" s="57">
        <f>SUM(C41:N41)/6</f>
        <v>59.028033073620612</v>
      </c>
    </row>
    <row r="42" spans="1:15" x14ac:dyDescent="0.25">
      <c r="A42" s="58"/>
      <c r="B42" s="50"/>
      <c r="C42" s="63"/>
      <c r="D42" s="63"/>
      <c r="E42" s="64"/>
      <c r="F42" s="64"/>
      <c r="G42" s="64"/>
      <c r="H42" s="64"/>
      <c r="O42" s="65"/>
    </row>
    <row r="43" spans="1:15" x14ac:dyDescent="0.25">
      <c r="A43" s="54" t="s">
        <v>48</v>
      </c>
      <c r="B43" s="55" t="s">
        <v>49</v>
      </c>
      <c r="C43" s="66">
        <f>+C9</f>
        <v>13134.86</v>
      </c>
      <c r="D43" s="66">
        <f>+D9</f>
        <v>7003.39</v>
      </c>
      <c r="E43" s="66">
        <f t="shared" ref="E43:H43" si="24">+E9</f>
        <v>9807.34</v>
      </c>
      <c r="F43" s="66">
        <f t="shared" si="24"/>
        <v>11171.32</v>
      </c>
      <c r="G43" s="66">
        <f t="shared" si="24"/>
        <v>10339.85</v>
      </c>
      <c r="H43" s="66">
        <f t="shared" si="24"/>
        <v>9495.19</v>
      </c>
      <c r="I43" s="66"/>
      <c r="J43" s="66"/>
      <c r="K43" s="66"/>
      <c r="L43" s="66"/>
      <c r="M43" s="66"/>
      <c r="N43" s="66"/>
      <c r="O43" s="93">
        <f>SUM(C43:N43)</f>
        <v>60951.950000000004</v>
      </c>
    </row>
    <row r="44" spans="1:15" x14ac:dyDescent="0.25">
      <c r="A44" s="54" t="s">
        <v>50</v>
      </c>
      <c r="B44" s="55" t="s">
        <v>49</v>
      </c>
      <c r="C44" s="66">
        <f>+C13</f>
        <v>0</v>
      </c>
      <c r="D44" s="66">
        <f>+D13</f>
        <v>0</v>
      </c>
      <c r="E44" s="66">
        <f t="shared" ref="E44:H44" si="25">+E13</f>
        <v>0</v>
      </c>
      <c r="F44" s="66">
        <f t="shared" si="25"/>
        <v>0</v>
      </c>
      <c r="G44" s="66">
        <f t="shared" si="25"/>
        <v>0</v>
      </c>
      <c r="H44" s="66">
        <f t="shared" si="25"/>
        <v>0</v>
      </c>
      <c r="I44" s="66"/>
      <c r="J44" s="66"/>
      <c r="K44" s="66"/>
      <c r="L44" s="66"/>
      <c r="M44" s="66"/>
      <c r="N44" s="66"/>
      <c r="O44" s="93">
        <f t="shared" ref="O44:O45" si="26">SUM(C44:N44)</f>
        <v>0</v>
      </c>
    </row>
    <row r="45" spans="1:15" x14ac:dyDescent="0.25">
      <c r="A45" s="54" t="s">
        <v>51</v>
      </c>
      <c r="B45" s="55" t="s">
        <v>49</v>
      </c>
      <c r="C45" s="66">
        <f>+C32</f>
        <v>2906.96</v>
      </c>
      <c r="D45" s="66">
        <f>+D32</f>
        <v>3264.5</v>
      </c>
      <c r="E45" s="66">
        <f t="shared" ref="E45:H45" si="27">+E32</f>
        <v>3914.39</v>
      </c>
      <c r="F45" s="66">
        <f t="shared" si="27"/>
        <v>2999.2200000000003</v>
      </c>
      <c r="G45" s="66">
        <f t="shared" si="27"/>
        <v>3559.5199999999995</v>
      </c>
      <c r="H45" s="66">
        <f t="shared" si="27"/>
        <v>4189.24</v>
      </c>
      <c r="I45" s="66"/>
      <c r="J45" s="66"/>
      <c r="K45" s="66"/>
      <c r="L45" s="66"/>
      <c r="M45" s="66"/>
      <c r="N45" s="66"/>
      <c r="O45" s="93">
        <f t="shared" si="26"/>
        <v>20833.830000000002</v>
      </c>
    </row>
    <row r="46" spans="1:15" x14ac:dyDescent="0.25">
      <c r="A46" s="58" t="s">
        <v>48</v>
      </c>
      <c r="B46" s="59" t="s">
        <v>47</v>
      </c>
      <c r="C46" s="67">
        <f>+C43/C37</f>
        <v>43.62</v>
      </c>
      <c r="D46" s="67">
        <f>+D43/D37</f>
        <v>58.09</v>
      </c>
      <c r="E46" s="67">
        <f t="shared" ref="E46:H46" si="28">+E43/E37</f>
        <v>62.881221179837816</v>
      </c>
      <c r="F46" s="67">
        <f t="shared" si="28"/>
        <v>68.616632214978537</v>
      </c>
      <c r="G46" s="67">
        <f t="shared" si="28"/>
        <v>68.470345046907298</v>
      </c>
      <c r="H46" s="67">
        <f t="shared" si="28"/>
        <v>52.49</v>
      </c>
      <c r="I46" s="67"/>
      <c r="J46" s="67"/>
      <c r="K46" s="67"/>
      <c r="L46" s="67"/>
      <c r="M46" s="67"/>
      <c r="N46" s="67"/>
      <c r="O46" s="68">
        <f>SUM(C46:N46)/6</f>
        <v>59.028033073620612</v>
      </c>
    </row>
    <row r="47" spans="1:15" x14ac:dyDescent="0.25">
      <c r="A47" s="54" t="s">
        <v>50</v>
      </c>
      <c r="B47" s="55" t="s">
        <v>47</v>
      </c>
      <c r="C47" s="69">
        <f>+C44/C37</f>
        <v>0</v>
      </c>
      <c r="D47" s="69">
        <f>+D44/D37</f>
        <v>0</v>
      </c>
      <c r="E47" s="69">
        <f t="shared" ref="E47:H47" si="29">+E44/E37</f>
        <v>0</v>
      </c>
      <c r="F47" s="69">
        <f t="shared" si="29"/>
        <v>0</v>
      </c>
      <c r="G47" s="69">
        <f t="shared" si="29"/>
        <v>0</v>
      </c>
      <c r="H47" s="69">
        <f t="shared" si="29"/>
        <v>0</v>
      </c>
      <c r="I47" s="69"/>
      <c r="J47" s="69"/>
      <c r="K47" s="69"/>
      <c r="L47" s="69"/>
      <c r="M47" s="69"/>
      <c r="N47" s="69"/>
      <c r="O47" s="70">
        <f>SUM(C47:N47)/6</f>
        <v>0</v>
      </c>
    </row>
    <row r="48" spans="1:15" x14ac:dyDescent="0.25">
      <c r="A48" s="54" t="s">
        <v>51</v>
      </c>
      <c r="B48" s="55" t="s">
        <v>47</v>
      </c>
      <c r="C48" s="69">
        <f>+C45/C37</f>
        <v>9.6538216014483584</v>
      </c>
      <c r="D48" s="69">
        <f>+D45/D37</f>
        <v>27.077573146718944</v>
      </c>
      <c r="E48" s="69">
        <f t="shared" ref="E48:H48" si="30">+E45/E37</f>
        <v>25.097694520037578</v>
      </c>
      <c r="F48" s="69">
        <f t="shared" si="30"/>
        <v>18.421849492433122</v>
      </c>
      <c r="G48" s="69">
        <f t="shared" si="30"/>
        <v>23.571092675557903</v>
      </c>
      <c r="H48" s="69">
        <f t="shared" si="30"/>
        <v>23.158378884466764</v>
      </c>
      <c r="I48" s="69"/>
      <c r="J48" s="69"/>
      <c r="K48" s="69"/>
      <c r="L48" s="69"/>
      <c r="M48" s="69"/>
      <c r="N48" s="69"/>
      <c r="O48" s="71">
        <f>SUM(C48:N48)/6</f>
        <v>21.163401720110446</v>
      </c>
    </row>
    <row r="49" spans="1:15" x14ac:dyDescent="0.25">
      <c r="A49" s="58" t="s">
        <v>52</v>
      </c>
      <c r="B49" s="59" t="s">
        <v>47</v>
      </c>
      <c r="C49" s="67">
        <f>+C46-C47-C48</f>
        <v>33.966178398551641</v>
      </c>
      <c r="D49" s="67">
        <f>+D46-D47-D48</f>
        <v>31.01242685328106</v>
      </c>
      <c r="E49" s="67">
        <f t="shared" ref="E49:H49" si="31">+E46-E47-E48</f>
        <v>37.783526659800238</v>
      </c>
      <c r="F49" s="67">
        <f t="shared" si="31"/>
        <v>50.194782722545412</v>
      </c>
      <c r="G49" s="67">
        <f t="shared" si="31"/>
        <v>44.899252371349391</v>
      </c>
      <c r="H49" s="67">
        <f t="shared" si="31"/>
        <v>29.331621115533238</v>
      </c>
      <c r="I49" s="67"/>
      <c r="J49" s="67"/>
      <c r="K49" s="67"/>
      <c r="L49" s="67"/>
      <c r="M49" s="67"/>
      <c r="N49" s="67"/>
      <c r="O49" s="68">
        <f>SUM(C49:N49)/6</f>
        <v>37.86463135351017</v>
      </c>
    </row>
    <row r="50" spans="1:15" x14ac:dyDescent="0.25">
      <c r="A50" s="58" t="s">
        <v>53</v>
      </c>
      <c r="B50" s="72" t="s">
        <v>54</v>
      </c>
      <c r="C50" s="67">
        <v>0</v>
      </c>
      <c r="D50" s="67">
        <v>0</v>
      </c>
      <c r="E50" s="67">
        <v>0</v>
      </c>
      <c r="F50" s="67">
        <v>0</v>
      </c>
      <c r="G50" s="67">
        <v>0</v>
      </c>
      <c r="H50" s="67">
        <v>0</v>
      </c>
      <c r="I50" s="67"/>
      <c r="J50" s="67"/>
      <c r="K50" s="67"/>
      <c r="L50" s="67"/>
      <c r="M50" s="67"/>
      <c r="N50" s="67"/>
      <c r="O50" s="68">
        <f>SUM(C50:N50)/6</f>
        <v>0</v>
      </c>
    </row>
    <row r="51" spans="1:15" x14ac:dyDescent="0.25">
      <c r="A51" s="54" t="s">
        <v>55</v>
      </c>
      <c r="B51" s="73" t="s">
        <v>54</v>
      </c>
      <c r="C51" s="69">
        <v>0</v>
      </c>
      <c r="D51" s="69">
        <v>0</v>
      </c>
      <c r="E51" s="69">
        <v>0</v>
      </c>
      <c r="F51" s="69">
        <v>0</v>
      </c>
      <c r="G51" s="69">
        <v>0</v>
      </c>
      <c r="H51" s="69">
        <v>0</v>
      </c>
      <c r="I51" s="69"/>
      <c r="J51" s="69"/>
      <c r="K51" s="69"/>
      <c r="L51" s="69"/>
      <c r="M51" s="69"/>
      <c r="N51" s="69"/>
      <c r="O51" s="71">
        <f>SUM(C51:N51)/6</f>
        <v>0</v>
      </c>
    </row>
    <row r="52" spans="1:15" x14ac:dyDescent="0.25">
      <c r="A52" s="58" t="s">
        <v>56</v>
      </c>
      <c r="B52" s="72" t="s">
        <v>54</v>
      </c>
      <c r="C52" s="67">
        <f>+C44/C43*100</f>
        <v>0</v>
      </c>
      <c r="D52" s="67">
        <f>+D44/D43*100</f>
        <v>0</v>
      </c>
      <c r="E52" s="67">
        <f t="shared" ref="E52:H52" si="32">+E44/E43*100</f>
        <v>0</v>
      </c>
      <c r="F52" s="67">
        <f t="shared" si="32"/>
        <v>0</v>
      </c>
      <c r="G52" s="67">
        <f t="shared" si="32"/>
        <v>0</v>
      </c>
      <c r="H52" s="67">
        <f t="shared" si="32"/>
        <v>0</v>
      </c>
      <c r="I52" s="67"/>
      <c r="J52" s="67"/>
      <c r="K52" s="67"/>
      <c r="L52" s="67"/>
      <c r="M52" s="67"/>
      <c r="N52" s="67"/>
      <c r="O52" s="68">
        <f>SUM(C52:N52)/6</f>
        <v>0</v>
      </c>
    </row>
    <row r="53" spans="1:15" x14ac:dyDescent="0.25">
      <c r="A53" s="54" t="s">
        <v>57</v>
      </c>
      <c r="B53" s="73" t="s">
        <v>54</v>
      </c>
      <c r="C53" s="69">
        <f>C45/C43*100</f>
        <v>22.131640535186516</v>
      </c>
      <c r="D53" s="69">
        <f>D45/D43*100</f>
        <v>46.613140207813643</v>
      </c>
      <c r="E53" s="69">
        <f t="shared" ref="E53:H53" si="33">E45/E43*100</f>
        <v>39.912861183562512</v>
      </c>
      <c r="F53" s="69">
        <f t="shared" si="33"/>
        <v>26.847498773645373</v>
      </c>
      <c r="G53" s="69">
        <f t="shared" si="33"/>
        <v>34.425257619791381</v>
      </c>
      <c r="H53" s="69">
        <f t="shared" si="33"/>
        <v>44.119601608814563</v>
      </c>
      <c r="I53" s="69"/>
      <c r="J53" s="69"/>
      <c r="K53" s="69"/>
      <c r="L53" s="69"/>
      <c r="M53" s="69"/>
      <c r="N53" s="69"/>
      <c r="O53" s="70">
        <f>SUM(C53:N53)/6</f>
        <v>35.67499998813566</v>
      </c>
    </row>
    <row r="54" spans="1:15" x14ac:dyDescent="0.25">
      <c r="A54" s="74" t="s">
        <v>58</v>
      </c>
      <c r="B54" s="75" t="s">
        <v>54</v>
      </c>
      <c r="C54" s="76">
        <f>C45/(C43+C44)*100</f>
        <v>22.131640535186516</v>
      </c>
      <c r="D54" s="76">
        <f>D45/(D43+D44)*100</f>
        <v>46.613140207813643</v>
      </c>
      <c r="E54" s="76">
        <f t="shared" ref="E54:H54" si="34">E45/(E43+E44)*100</f>
        <v>39.912861183562512</v>
      </c>
      <c r="F54" s="76">
        <f t="shared" si="34"/>
        <v>26.847498773645373</v>
      </c>
      <c r="G54" s="76">
        <f t="shared" si="34"/>
        <v>34.425257619791381</v>
      </c>
      <c r="H54" s="76">
        <f t="shared" si="34"/>
        <v>44.119601608814563</v>
      </c>
      <c r="I54" s="76"/>
      <c r="J54" s="76"/>
      <c r="K54" s="76"/>
      <c r="L54" s="76"/>
      <c r="M54" s="76"/>
      <c r="N54" s="76"/>
      <c r="O54" s="71">
        <f>SUM(C54:N54)/6</f>
        <v>35.67499998813566</v>
      </c>
    </row>
  </sheetData>
  <mergeCells count="3">
    <mergeCell ref="A1:O1"/>
    <mergeCell ref="A2:O2"/>
    <mergeCell ref="A3:N3"/>
  </mergeCells>
  <pageMargins left="0.25" right="0.25" top="0.75" bottom="0.75" header="0.3" footer="0.3"/>
  <pageSetup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100 5-30-9-7 </vt:lpstr>
      <vt:lpstr>100 10-36-9-8 Water Source</vt:lpstr>
      <vt:lpstr>FAC 7-36-9-8</vt:lpstr>
      <vt:lpstr>102 8-35-9-8</vt:lpstr>
      <vt:lpstr>102 8-36-9-8</vt:lpstr>
      <vt:lpstr>SAT 10-36-9-8</vt:lpstr>
      <vt:lpstr>SAT 15-36-9-8</vt:lpstr>
      <vt:lpstr>FAC 1-25-9-8</vt:lpstr>
      <vt:lpstr>SAT 9-36-9-8</vt:lpstr>
      <vt:lpstr>Murray Lake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2017-08-11T17:28:54Z</dcterms:created>
  <dcterms:modified xsi:type="dcterms:W3CDTF">2019-08-20T21:27:31Z</dcterms:modified>
</cp:coreProperties>
</file>